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sumptions" sheetId="1" state="visible" r:id="rId2"/>
    <sheet name="Revenue Build" sheetId="2" state="visible" r:id="rId3"/>
    <sheet name="P&amp;L" sheetId="3" state="visible" r:id="rId4"/>
    <sheet name="Use of Funds" sheetId="4" state="visible" r:id="rId5"/>
    <sheet name="Tapeout Unit Economics" sheetId="5" state="visible" r:id="rId6"/>
    <sheet name="Cash Flow &amp; Runway" sheetId="6" state="visible" r:id="rId7"/>
    <sheet name="Demand &amp; TAM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<sst xmlns="http://schemas.openxmlformats.org/spreadsheetml/2006/main" count="490" uniqueCount="349">
  <si>
    <t xml:space="preserve">Deal terms &amp; chip per Investor Pitch v8 (CORRECTED June 2026); revenue revised to FPGA-only in FY2027, ASIC revenue from FY2028 Q3 earliest. Blue = input, black = formula, green = link.</t>
  </si>
  <si>
    <t xml:space="preserve">CORRECTION NOTE: FY2027 revenue reflects only FPGA-based products and robot sales. Chipset/ASIC revenue starts FY2028. Opening capital corrected to actual bank balance (Rs2.5L); all prior funding fully deployed.</t>
  </si>
  <si>
    <t xml:space="preserve">Investment highlights: even a 70% miss (Downside ~Rs339 Cr) still self-funds; SoC4 5nm = robotaxi + datacenter optionality, funded from profit.</t>
  </si>
  <si>
    <t xml:space="preserve">A.  MACRO &amp; DEAL</t>
  </si>
  <si>
    <t xml:space="preserve">USD / INR</t>
  </si>
  <si>
    <t xml:space="preserve">Valuation report: Rs9.40 Cr = $1M</t>
  </si>
  <si>
    <t xml:space="preserve">Corporate tax rate</t>
  </si>
  <si>
    <t xml:space="preserve">India effective</t>
  </si>
  <si>
    <t xml:space="preserve">WACC</t>
  </si>
  <si>
    <t xml:space="preserve">Damodaran Jan 2025 (Rf 6.82% + ERP + startup premium)</t>
  </si>
  <si>
    <t xml:space="preserve">Terminal growth (g)</t>
  </si>
  <si>
    <t xml:space="preserve">Long-run</t>
  </si>
  <si>
    <t xml:space="preserve">Pre-money valuation (Rs Cr)</t>
  </si>
  <si>
    <t xml:space="preserve">Investor Pitch v7 Slide 12 / data room</t>
  </si>
  <si>
    <t xml:space="preserve">Equity raise (Rs Cr)</t>
  </si>
  <si>
    <t xml:space="preserve">Investor Pitch v7: Rs45.00 Cr = $4.79M</t>
  </si>
  <si>
    <t xml:space="preserve">Price per share (Rs)</t>
  </si>
  <si>
    <t xml:space="preserve">Investor Pitch v7 Slide 12</t>
  </si>
  <si>
    <t xml:space="preserve">Existing shares (pre-raise)</t>
  </si>
  <si>
    <t xml:space="preserve">Cap table</t>
  </si>
  <si>
    <t xml:space="preserve">Post-money (Rs Cr)</t>
  </si>
  <si>
    <t xml:space="preserve">Investor ownership %</t>
  </si>
  <si>
    <t xml:space="preserve">New shares (investor)</t>
  </si>
  <si>
    <t xml:space="preserve">SCENARIO  (Base / Bull / Bear / Downside)</t>
  </si>
  <si>
    <t xml:space="preserve">Base</t>
  </si>
  <si>
    <t xml:space="preserve">Downside = mandate slips, 3 pilots not the market</t>
  </si>
  <si>
    <t xml:space="preserve">Revenue multiplier</t>
  </si>
  <si>
    <t xml:space="preserve">Opex % delta</t>
  </si>
  <si>
    <t xml:space="preserve">B.  GROSS MARGIN BY SEGMENT  (%)</t>
  </si>
  <si>
    <t xml:space="preserve">Segment</t>
  </si>
  <si>
    <t xml:space="preserve">FY2027</t>
  </si>
  <si>
    <t xml:space="preserve">FY2028</t>
  </si>
  <si>
    <t xml:space="preserve">FY2029</t>
  </si>
  <si>
    <t xml:space="preserve">FY2030</t>
  </si>
  <si>
    <t xml:space="preserve">FY2031</t>
  </si>
  <si>
    <t xml:space="preserve">FY2032</t>
  </si>
  <si>
    <t xml:space="preserve">Each business its own margin; blends below</t>
  </si>
  <si>
    <t xml:space="preserve">Systems</t>
  </si>
  <si>
    <t xml:space="preserve">Sensors</t>
  </si>
  <si>
    <t xml:space="preserve">Semiconductors</t>
  </si>
  <si>
    <t xml:space="preserve">Robotics</t>
  </si>
  <si>
    <t xml:space="preserve">C.  OPEX DRIVERS  (% of revenue)</t>
  </si>
  <si>
    <t xml:space="preserve">Fiscal year</t>
  </si>
  <si>
    <t xml:space="preserve">Source: projections Base case</t>
  </si>
  <si>
    <t xml:space="preserve">R&amp;D % of revenue (total)</t>
  </si>
  <si>
    <t xml:space="preserve">Total R&amp;D; split into run-rate + SoC4 5nm in P&amp;L</t>
  </si>
  <si>
    <t xml:space="preserve">  of which: run-rate R&amp;D %</t>
  </si>
  <si>
    <t xml:space="preserve">Sustaining SoC2 + software; remainder funds SoC4 5nm</t>
  </si>
  <si>
    <t xml:space="preserve">Sales &amp; Marketing % of revenue</t>
  </si>
  <si>
    <t xml:space="preserve">G&amp;A % of revenue</t>
  </si>
  <si>
    <t xml:space="preserve">D&amp;A % of revenue</t>
  </si>
  <si>
    <t xml:space="preserve">D.  CURRENT STATE (June 2026) — FOR INVESTOR TRANSPARENCY</t>
  </si>
  <si>
    <t xml:space="preserve">Cash in bank (actual)</t>
  </si>
  <si>
    <t xml:space="preserve">Rs2.5L — verified from ICICI bank statement</t>
  </si>
  <si>
    <t xml:space="preserve">Immediate dues</t>
  </si>
  <si>
    <t xml:space="preserve">Rs23L — rent Rs9L + Jiyu vendor Rs8L + salaries Rs4L + EMI Rs2L</t>
  </si>
  <si>
    <t xml:space="preserve">Bridge funding (incoming)</t>
  </si>
  <si>
    <t xml:space="preserve">Rs32L — Rs6L confirmed + Rs6L confirmed + Rs20L personal borrowing</t>
  </si>
  <si>
    <t xml:space="preserve">Net working capital after dues</t>
  </si>
  <si>
    <t xml:space="preserve">Rs9L usable — ~3 weeks ops at current burn</t>
  </si>
  <si>
    <t xml:space="preserve">Monthly burn (actual, from bank statement)</t>
  </si>
  <si>
    <t xml:space="preserve">Rs12L/month — target cut to Rs8L with team reduction</t>
  </si>
  <si>
    <t xml:space="preserve">Robot revenue pipeline</t>
  </si>
  <si>
    <t xml:space="preserve">Rs50L potential in 60 days from 5 robot sales @ Rs10L, Rs3L build cost</t>
  </si>
  <si>
    <t xml:space="preserve">SoC2 tapeout status</t>
  </si>
  <si>
    <t xml:space="preserve">RTL phase</t>
  </si>
  <si>
    <t xml:space="preserve">3 blocking issues: B1 OPMODE (30min fix), B2 ITA AllReduce (2wk), RTL-1 pipeline reg (1day)</t>
  </si>
  <si>
    <t xml:space="preserve">SoC4 3D MALU status</t>
  </si>
  <si>
    <t xml:space="preserve">Timing closing</t>
  </si>
  <si>
    <t xml:space="preserve">169x efficiency proven on Verilator. Timing closure in progress. Patent filing needed immediately.</t>
  </si>
  <si>
    <t xml:space="preserve">Revenue Build — Units x ASP</t>
  </si>
  <si>
    <t xml:space="preserve">Conservative early, then exponential. Revenue = units sold x unit price. Streams sum natively to the total — no scaling, no target plug. Units &amp; ASP from the projections build.</t>
  </si>
  <si>
    <t xml:space="preserve">A.  PLATFORM SURFACES  (Rs Cr) — one SoC2/A100 chip + stack, four markets</t>
  </si>
  <si>
    <t xml:space="preserve">Surface</t>
  </si>
  <si>
    <t xml:space="preserve">Road Autonomy</t>
  </si>
  <si>
    <t xml:space="preserve">Silicon &amp; Compute</t>
  </si>
  <si>
    <t xml:space="preserve">Fleet &amp; Mobility</t>
  </si>
  <si>
    <t xml:space="preserve">Sensors &amp; Robotics</t>
  </si>
  <si>
    <t xml:space="preserve">Total (check)</t>
  </si>
  <si>
    <t xml:space="preserve">All four surfaces run on the same chip + software stack (different firmware) — a platform, not separate businesses.</t>
  </si>
  <si>
    <t xml:space="preserve">B.  REVENUE BY SEGMENT  (Rs Cr)</t>
  </si>
  <si>
    <t xml:space="preserve">Systems share of revenue</t>
  </si>
  <si>
    <t xml:space="preserve">C.  INDOOR vs OUTDOOR AUTONOMY  (Rs Cr)</t>
  </si>
  <si>
    <t xml:space="preserve">Domain</t>
  </si>
  <si>
    <t xml:space="preserve">Outdoor autonomy</t>
  </si>
  <si>
    <t xml:space="preserve">Indoor autonomy</t>
  </si>
  <si>
    <t xml:space="preserve">General compute (A100 box)</t>
  </si>
  <si>
    <t xml:space="preserve">Indoor share of revenue</t>
  </si>
  <si>
    <t xml:space="preserve">Indoor = AD1 L4 + AGV (geofenced). Outdoor = road ADAS, trucks, rental, sensors, chip, defence. Compute = A100 box.</t>
  </si>
  <si>
    <t xml:space="preserve">D.  CUSTOMER BASE  (key accounts / customers)</t>
  </si>
  <si>
    <t xml:space="preserve">Metric</t>
  </si>
  <si>
    <t xml:space="preserve">Distinct customers / key accounts</t>
  </si>
  <si>
    <t xml:space="preserve">Avg revenue per customer (Rs Cr)</t>
  </si>
  <si>
    <t xml:space="preserve">Customers grow 5 -&gt; 650 as the AD0 mandate retrofit and fleets scale; de-risks single-account dependence.</t>
  </si>
  <si>
    <t xml:space="preserve">E.  UNITS x ASP -&gt; REVENUE  (bottom-up detail, Rs Cr)</t>
  </si>
  <si>
    <t xml:space="preserve">Business line</t>
  </si>
  <si>
    <t xml:space="preserve">ASP (Rs)</t>
  </si>
  <si>
    <t xml:space="preserve">Units sold</t>
  </si>
  <si>
    <t xml:space="preserve">AD0 Smart Mirror (mandate retrofit)</t>
  </si>
  <si>
    <t xml:space="preserve">AD1 Indoor L4 kit</t>
  </si>
  <si>
    <t xml:space="preserve">Smart Truck (AD2 kit)</t>
  </si>
  <si>
    <t xml:space="preserve">Autonomous TaaS</t>
  </si>
  <si>
    <t xml:space="preserve">Seaport AGV (port autonomy)</t>
  </si>
  <si>
    <t xml:space="preserve">Thermal camera (aftermarket)</t>
  </si>
  <si>
    <t xml:space="preserve">4D radar pod (aftermarket)</t>
  </si>
  <si>
    <t xml:space="preserve">H100 driver-monitor wearable</t>
  </si>
  <si>
    <t xml:space="preserve">Chipset OEM B2B (ASIC die)</t>
  </si>
  <si>
    <t xml:space="preserve">A100 compute box 1ch +SDK (M.2)</t>
  </si>
  <si>
    <t xml:space="preserve">A100 compute box 2ch +SDK</t>
  </si>
  <si>
    <t xml:space="preserve">A100 compute box 4ch +SDK (PCIe)</t>
  </si>
  <si>
    <t xml:space="preserve">T100 AI licence (SaaS)</t>
  </si>
  <si>
    <t xml:space="preserve">Defence D-HUMR</t>
  </si>
  <si>
    <t xml:space="preserve">D100 drone SoC kit</t>
  </si>
  <si>
    <t xml:space="preserve">Revenue (Rs Cr = units x ASP / 1e7, x scenario)</t>
  </si>
  <si>
    <t xml:space="preserve">Outdoor</t>
  </si>
  <si>
    <t xml:space="preserve">Indoor</t>
  </si>
  <si>
    <t xml:space="preserve">Compute</t>
  </si>
  <si>
    <t xml:space="preserve">TOTAL REVENUE (Rs Cr)</t>
  </si>
  <si>
    <t xml:space="preserve">Growth % (YoY)</t>
  </si>
  <si>
    <t xml:space="preserve">Bottom-up: every line is units x ASP; nothing is plugged. Scenario multiplier from Assumptions.</t>
  </si>
  <si>
    <t xml:space="preserve">P&amp;L Summary  (Rs Cr)</t>
  </si>
  <si>
    <t xml:space="preserve">Revenue links from Revenue Build (green). COGS, opex, EBITDA, net income are all derived. EBITDA = gross profit - operating expense.</t>
  </si>
  <si>
    <t xml:space="preserve">Line item</t>
  </si>
  <si>
    <t xml:space="preserve">Revenue</t>
  </si>
  <si>
    <t xml:space="preserve">Gross profit</t>
  </si>
  <si>
    <t xml:space="preserve">Sum of segment revenue x segment GM</t>
  </si>
  <si>
    <t xml:space="preserve">  COGS</t>
  </si>
  <si>
    <t xml:space="preserve">  R&amp;D (total)</t>
  </si>
  <si>
    <t xml:space="preserve">     run-rate R&amp;D</t>
  </si>
  <si>
    <t xml:space="preserve">Sustaining SoC2 + software</t>
  </si>
  <si>
    <t xml:space="preserve">     SoC4 5nm tape-out program</t>
  </si>
  <si>
    <t xml:space="preserve">Next-gen 5nm chip for L4/robotaxi horizon</t>
  </si>
  <si>
    <t xml:space="preserve">  Sales &amp; Marketing</t>
  </si>
  <si>
    <t xml:space="preserve">  G&amp;A</t>
  </si>
  <si>
    <t xml:space="preserve">Total operating expense</t>
  </si>
  <si>
    <t xml:space="preserve">incl. scenario opex delta</t>
  </si>
  <si>
    <t xml:space="preserve">EBITDA</t>
  </si>
  <si>
    <t xml:space="preserve">Gross profit - operating expense</t>
  </si>
  <si>
    <t xml:space="preserve">D&amp;A</t>
  </si>
  <si>
    <t xml:space="preserve">EBIT</t>
  </si>
  <si>
    <t xml:space="preserve">  Loss carryforward (opening)</t>
  </si>
  <si>
    <t xml:space="preserve">  Taxable income (after losses)</t>
  </si>
  <si>
    <t xml:space="preserve">Tax (25%, post-carryforward)</t>
  </si>
  <si>
    <t xml:space="preserve">  Loss carryforward (closing)</t>
  </si>
  <si>
    <t xml:space="preserve">Net income</t>
  </si>
  <si>
    <t xml:space="preserve">  Gross margin %</t>
  </si>
  <si>
    <t xml:space="preserve">  EBITDA margin %</t>
  </si>
  <si>
    <t xml:space="preserve">  Net margin %</t>
  </si>
  <si>
    <t xml:space="preserve">Bottom-up build: units x ASP sum natively (no target plug). Deal terms &amp; chip per Investor Pitch v7.</t>
  </si>
  <si>
    <t xml:space="preserve">R&amp;D stays high by design: ~Rs300 Cr cumulative funds the SoC4 5nm tape-out (L4/robotaxi) from operating profit — the next silicon generation, self-funded.</t>
  </si>
  <si>
    <t xml:space="preserve">Use of Funds — Rs45 Cr Equity + Rs10 Cr CGTMSE Loan</t>
  </si>
  <si>
    <t xml:space="preserve">Two sources: Rs45 Cr equity round funds the tapeout; a Rs10 Cr CGTMSE-backed loan funds working capital (debt, non-dilutive).</t>
  </si>
  <si>
    <t xml:space="preserve">SOURCES OF CAPITAL</t>
  </si>
  <si>
    <t xml:space="preserve">Source</t>
  </si>
  <si>
    <t xml:space="preserve">$M</t>
  </si>
  <si>
    <t xml:space="preserve">Rs Cr</t>
  </si>
  <si>
    <t xml:space="preserve">Pre-Series A equity round</t>
  </si>
  <si>
    <t xml:space="preserve">Equity; funds the SoC2 tapeout (18.07% to investor)</t>
  </si>
  <si>
    <t xml:space="preserve">CGTMSE-backed term loan</t>
  </si>
  <si>
    <t xml:space="preserve">Rs10 Cr (~$1.06M) collateral-free MSME debt; funds working capital, non-dilutive</t>
  </si>
  <si>
    <t xml:space="preserve">Total capital available</t>
  </si>
  <si>
    <t xml:space="preserve">USE OF CAPITAL</t>
  </si>
  <si>
    <t xml:space="preserve">Allocation</t>
  </si>
  <si>
    <t xml:space="preserve">% of total</t>
  </si>
  <si>
    <t xml:space="preserve">SoC2 tapeout NRE + IP (phased: MPW blocks -&gt; full die -&gt; dedicated mask)</t>
  </si>
  <si>
    <t xml:space="preserve">Equity-funded. See Tapeout Unit Economics tab</t>
  </si>
  <si>
    <t xml:space="preserve">Engineering (chip + firmware + defence)</t>
  </si>
  <si>
    <t xml:space="preserve">Equity-funded; ~18-mo runway to RTL-&gt;GDS</t>
  </si>
  <si>
    <t xml:space="preserve">AIS-162/188 certification + FPGA pilot</t>
  </si>
  <si>
    <t xml:space="preserve">Equity-funded; ARAI / ICAT + 100 pilot units</t>
  </si>
  <si>
    <t xml:space="preserve">Working capital / BD / inventory</t>
  </si>
  <si>
    <t xml:space="preserve">Rs10 Cr CGTMSE loan + equity remainder</t>
  </si>
  <si>
    <t xml:space="preserve">Total</t>
  </si>
  <si>
    <t xml:space="preserve">Silicon (NRE + IP) as % of equity round</t>
  </si>
  <si>
    <t xml:space="preserve">Equity round is ~all silicon; loan covers working capital</t>
  </si>
  <si>
    <t xml:space="preserve">Grants &amp; prior funding (context, not part of this raise)</t>
  </si>
  <si>
    <t xml:space="preserve">ARAI certification grant</t>
  </si>
  <si>
    <t xml:space="preserve">Rs36 lakh - received</t>
  </si>
  <si>
    <t xml:space="preserve">HDFC Parivartan grant</t>
  </si>
  <si>
    <t xml:space="preserve">~Rs2 Cr — fully deployed in operations (bank statement verified)</t>
  </si>
  <si>
    <t xml:space="preserve">Angel funding to date</t>
  </si>
  <si>
    <t xml:space="preserve">Rs1 Cr - MCEME/Army food robot — received and fully deployed in operations</t>
  </si>
  <si>
    <t xml:space="preserve">Defence revenue received</t>
  </si>
  <si>
    <t xml:space="preserve">Rs1 Cr - MCEME/Army, on FPGA</t>
  </si>
  <si>
    <t xml:space="preserve">CURRENT CASH POSITION (June 2026)</t>
  </si>
  <si>
    <t xml:space="preserve">Rs2.5L actual bank balance — bridge funding being arranged</t>
  </si>
  <si>
    <t xml:space="preserve">SoC2 Tapeout — Unit Economics</t>
  </si>
  <si>
    <t xml:space="preserve">What the raise funds. One-time NRE turns into a chip that costs ~$3 at volume vs $3,000-8,000 incumbents. Blue = input, black = formula.</t>
  </si>
  <si>
    <t xml:space="preserve">A.  PHASED TAPEOUT PROGRAM  (what the raise funds)</t>
  </si>
  <si>
    <t xml:space="preserve">Phase / item</t>
  </si>
  <si>
    <t xml:space="preserve">$</t>
  </si>
  <si>
    <t xml:space="preserve">A100 block MPW (5mm2 x $13,800/mm2, 100 samples)</t>
  </si>
  <si>
    <t xml:space="preserve">muSemi shared block, TSMC 28nm; compute block</t>
  </si>
  <si>
    <t xml:space="preserve">R100 block MPW (5mm2 x $13,800/mm2, 100 samples)</t>
  </si>
  <si>
    <t xml:space="preserve">muSemi shared block; radar DSP block</t>
  </si>
  <si>
    <t xml:space="preserve">Full 57mm2 MPW prototype (1p8m 8-metal)</t>
  </si>
  <si>
    <t xml:space="preserve">muSemi full block $220k + 5 proto wafers @ $2,400</t>
  </si>
  <si>
    <t xml:space="preserve">SmartSoC backend -&gt; GDSII (PD / DFT / integration / signoff)</t>
  </si>
  <si>
    <t xml:space="preserve">After MPW blocks proven</t>
  </si>
  <si>
    <t xml:space="preserve">Dedicated mask set (TSMC 28nm 1p8m, negotiable)</t>
  </si>
  <si>
    <t xml:space="preserve">Full production mask, separate foundry cost</t>
  </si>
  <si>
    <t xml:space="preserve">IP — PrimeSoC MIPI + PCIe4 + LPDDR5X</t>
  </si>
  <si>
    <t xml:space="preserve">Controller IP bundle (one-time licence)</t>
  </si>
  <si>
    <t xml:space="preserve">IP — Terminus Circuits PHY</t>
  </si>
  <si>
    <t xml:space="preserve">PHY IP; $400-600k negotiable, midpoint</t>
  </si>
  <si>
    <t xml:space="preserve">Total program NRE (one-time)</t>
  </si>
  <si>
    <t xml:space="preserve">~$3.2M total; validate A100/R100 blocks on MPW, then full die, then dedicated mask</t>
  </si>
  <si>
    <t xml:space="preserve">B.  PER-DIE COST AT VOLUME  (derived from die size + yield)</t>
  </si>
  <si>
    <t xml:space="preserve">SoC2 die area (mm2)</t>
  </si>
  <si>
    <t xml:space="preserve">v7 single-die SoC2, TSMC 28nm HPC+</t>
  </si>
  <si>
    <t xml:space="preserve">Wafer diameter (mm)</t>
  </si>
  <si>
    <t xml:space="preserve">Standard 300mm wafer</t>
  </si>
  <si>
    <t xml:space="preserve">Gross die per wafer (edge-corrected)</t>
  </si>
  <si>
    <t xml:space="preserve">GDPW formula: pi*r^2/A - pi*2r/sqrt(A)</t>
  </si>
  <si>
    <t xml:space="preserve">Yield (mature 28nm)</t>
  </si>
  <si>
    <t xml:space="preserve">Murphy model at ~0.1/cm2 defect density</t>
  </si>
  <si>
    <t xml:space="preserve">Good die per wafer</t>
  </si>
  <si>
    <t xml:space="preserve">Gross die x yield</t>
  </si>
  <si>
    <t xml:space="preserve">28nm wafer cost ($/wafer)</t>
  </si>
  <si>
    <t xml:space="preserve">Volume-committed price (~500k dies); TSMC 28nm</t>
  </si>
  <si>
    <t xml:space="preserve">Wafer cost per die ($)</t>
  </si>
  <si>
    <t xml:space="preserve">Wafer cost / good die</t>
  </si>
  <si>
    <t xml:space="preserve">Assembly, test &amp; packaging ($)</t>
  </si>
  <si>
    <t xml:space="preserve">OSAT / QuikPak at volume</t>
  </si>
  <si>
    <t xml:space="preserve">Per-die cost at volume ($)</t>
  </si>
  <si>
    <t xml:space="preserve">Wafer/die + ATP</t>
  </si>
  <si>
    <t xml:space="preserve">Incumbent ADAS SoC cost ($)</t>
  </si>
  <si>
    <t xml:space="preserve">Mobileye/Nvidia class: $3,000-8,000</t>
  </si>
  <si>
    <t xml:space="preserve">Cost advantage vs incumbent (x)</t>
  </si>
  <si>
    <t xml:space="preserve">C.  NRE BREAKEVEN</t>
  </si>
  <si>
    <t xml:space="preserve">Chip contribution inside a kit ($/chip)</t>
  </si>
  <si>
    <t xml:space="preserve">ASIC replaces Rs65k FPGA module; priced inside kit BOM</t>
  </si>
  <si>
    <t xml:space="preserve">Gross margin per chip ($)</t>
  </si>
  <si>
    <t xml:space="preserve">Breakeven volume (chips to recover NRE)</t>
  </si>
  <si>
    <t xml:space="preserve">Total NRE / gross margin per chip</t>
  </si>
  <si>
    <t xml:space="preserve">Phased path de-risks the spend: prove A100 &amp; R100 blocks on shared MPW, then a full-die</t>
  </si>
  <si>
    <t xml:space="preserve">prototype, and commit to the dedicated mask only once silicon works. Post-breakeven, every chip is near-pure margin.</t>
  </si>
  <si>
    <t xml:space="preserve">Production is demand-driven (~217k dies through FY32); the dedicated mask is built for a ~500k-die</t>
  </si>
  <si>
    <t xml:space="preserve">lifetime target, and that volume commitment is what earns the ~$2,400/wafer price used above.</t>
  </si>
  <si>
    <t xml:space="preserve">D.  SoC4 5nm SLIP SENSITIVITY</t>
  </si>
  <si>
    <t xml:space="preserve">Silicon &amp; Compute revenue FY32 (on-time)</t>
  </si>
  <si>
    <t xml:space="preserve">Haircut if SoC4 tapes out 12 months late</t>
  </si>
  <si>
    <t xml:space="preserve">Silicon &amp; Compute revenue FY32 (slip case)</t>
  </si>
  <si>
    <t xml:space="preserve">~Rs58 Cr lost; chip+box ramp pushed one year right</t>
  </si>
  <si>
    <t xml:space="preserve">If SoC4 5nm slips 12 months, FY32 Silicon &amp; Compute revenue falls ~30% (~Rs58 Cr). Core road-ADAS business on SoC2 is unaffected.</t>
  </si>
  <si>
    <t xml:space="preserve">E.  BEYOND FY32 — THE NEXT GROWTH WAVE</t>
  </si>
  <si>
    <t xml:space="preserve">SoC4 5nm is the option on the next two markets, both arriving post-FY32:</t>
  </si>
  <si>
    <t xml:space="preserve">   1. Robotaxi / L4 on Indian roads — SoC4 is the compute to win it; we are chip-ready when the market arrives.</t>
  </si>
  <si>
    <t xml:space="preserve">   2. Datacenter-class chipset — a bigger bet: the same transformer-native architecture scaled to datacenter inference.</t>
  </si>
  <si>
    <t xml:space="preserve">The Rs300 Cr cumulative R&amp;D (FY28-32) is not a cost centre — it funds these two options from operating profit, so the</t>
  </si>
  <si>
    <t xml:space="preserve">FY33+ growth wave needs no new external capital for silicon. This is why R&amp;D runs high by design.</t>
  </si>
  <si>
    <t xml:space="preserve">Cash Flow &amp; Runway  (Rs Cr)</t>
  </si>
  <si>
    <t xml:space="preserve">Does the Rs45 Cr round carry the company to self-funding? Operating cash from the P&amp;L, less capex, tracked against the opening war chest.</t>
  </si>
  <si>
    <t xml:space="preserve">A.  OPENING CAPITAL</t>
  </si>
  <si>
    <t xml:space="preserve">Equity raise (this round)</t>
  </si>
  <si>
    <t xml:space="preserve">Grants + angel + defence (in hand)</t>
  </si>
  <si>
    <t xml:space="preserve">CORRECTED: Actual bank balance Rs2.5L as of June 2026. All prior grants, angel funding (Rs2 Cr), and defence revenue (Rs1 Cr MCEME) fully deployed in operations.</t>
  </si>
  <si>
    <t xml:space="preserve">Total opening cash</t>
  </si>
  <si>
    <t xml:space="preserve">B.  ANNUAL CASH FLOW</t>
  </si>
  <si>
    <t xml:space="preserve">Operating cash flow (NI + D&amp;A)</t>
  </si>
  <si>
    <t xml:space="preserve">Less: tapeout capex (one-time)</t>
  </si>
  <si>
    <t xml:space="preserve">SoC2 NRE+IP ~Rs30 Cr, mostly FY27-28</t>
  </si>
  <si>
    <t xml:space="preserve">Less: other capex (equipment, lab)</t>
  </si>
  <si>
    <t xml:space="preserve">Memo: TaaS fleet debt outstanding (cumulative)</t>
  </si>
  <si>
    <t xml:space="preserve">Interest rate on fleet debt</t>
  </si>
  <si>
    <t xml:space="preserve">Indian asset-backed lending, pre-profit startup</t>
  </si>
  <si>
    <t xml:space="preserve">Less: TaaS debt interest</t>
  </si>
  <si>
    <t xml:space="preserve">NWC as % of revenue</t>
  </si>
  <si>
    <t xml:space="preserve">Inventory + receivables - payables; Indian OEMs pay 60-90d</t>
  </si>
  <si>
    <t xml:space="preserve">Net working capital (balance)</t>
  </si>
  <si>
    <t xml:space="preserve">Less: change in working capital</t>
  </si>
  <si>
    <t xml:space="preserve">Net cash flow for the year</t>
  </si>
  <si>
    <t xml:space="preserve">C.  CASH BALANCE</t>
  </si>
  <si>
    <t xml:space="preserve">Opening cash</t>
  </si>
  <si>
    <t xml:space="preserve">Closing cash</t>
  </si>
  <si>
    <t xml:space="preserve">Minimum cash balance (the trough)</t>
  </si>
  <si>
    <t xml:space="preserve">Runway verdict</t>
  </si>
  <si>
    <t xml:space="preserve">Note: TaaS fleet capex (~Rs60 Cr) is debt/lease financed against the trucks, so it is NOT</t>
  </si>
  <si>
    <t xml:space="preserve">a drain on this equity cash. Tapeout NRE is the main equity-funded capex, front-loaded in FY27-28.</t>
  </si>
  <si>
    <t xml:space="preserve">Demand &amp; TAM — Sourced</t>
  </si>
  <si>
    <t xml:space="preserve">Top-down market funnel + every product tied to a sized, sourced demand pool (global or India). Blue = our assumption; black = sourced/derived; sources in right column.</t>
  </si>
  <si>
    <t xml:space="preserve">A.  MARKET FUNNEL  (TAM -&gt; SAM -&gt; SOM)</t>
  </si>
  <si>
    <t xml:space="preserve">Layer</t>
  </si>
  <si>
    <t xml:space="preserve">Value</t>
  </si>
  <si>
    <t xml:space="preserve">Unit</t>
  </si>
  <si>
    <t xml:space="preserve">India commercial-vehicle market (2025)</t>
  </si>
  <si>
    <t xml:space="preserve">$B</t>
  </si>
  <si>
    <t xml:space="preserve">IMARC 2025: $53.2B; Mordor $51.1B (corroborating)</t>
  </si>
  <si>
    <t xml:space="preserve">India ADAS market (2024)</t>
  </si>
  <si>
    <t xml:space="preserve">EMR 2024: $2.29B, 20.6% CAGR to ~$14.9B by 2034</t>
  </si>
  <si>
    <t xml:space="preserve">TAM — mandated ADAS (AIS-184/186/187/188) annual</t>
  </si>
  <si>
    <t xml:space="preserve">Telematicswire/Roadzen on GSR 184(E)</t>
  </si>
  <si>
    <t xml:space="preserve">SAM — N2/N3 trucks we target (new + retrofit)</t>
  </si>
  <si>
    <t xml:space="preserve">M units</t>
  </si>
  <si>
    <t xml:space="preserve">~500k new/yr + ~500k retrofit (Roadzen/MoRTH)</t>
  </si>
  <si>
    <t xml:space="preserve">Annual new N2/N3 + bus production (mandated from FY26)</t>
  </si>
  <si>
    <t xml:space="preserve">M units/yr</t>
  </si>
  <si>
    <t xml:space="preserve">GSR 184(E) new-model scope, Apr 1 2026</t>
  </si>
  <si>
    <t xml:space="preserve">Retrofit pool (existing N2/N3 fleet)</t>
  </si>
  <si>
    <t xml:space="preserve">GSR 184(E) existing-model scope, Oct 1 2026</t>
  </si>
  <si>
    <t xml:space="preserve">SOM — our reachable share</t>
  </si>
  <si>
    <t xml:space="preserve">AD2 (mandatory) units at FY32 (from our build)</t>
  </si>
  <si>
    <t xml:space="preserve">AD2 satisfies the AIS-184 ADAS mandate on N2/N3 trucks</t>
  </si>
  <si>
    <t xml:space="preserve">AD2 share of 1.0M mandated trucks (new+retrofit)</t>
  </si>
  <si>
    <t xml:space="preserve">Single-digit share of the mandated pool; mandate = demand floor</t>
  </si>
  <si>
    <t xml:space="preserve">AD0 (360 surround-view) units at FY32</t>
  </si>
  <si>
    <t xml:space="preserve">NOT mandated — voluntary safety/convenience buy, already selling</t>
  </si>
  <si>
    <t xml:space="preserve">AD0 addressable: 360 surround-view market (2025)</t>
  </si>
  <si>
    <t xml:space="preserve">Towards Automotive: $3.09B 2025, 10.7% CAGR; Maruti/Tata already fitting</t>
  </si>
  <si>
    <t xml:space="preserve">B.  PER-PRODUCT DEMAND  (every line tied to a sourced market pool)</t>
  </si>
  <si>
    <t xml:space="preserve">Product</t>
  </si>
  <si>
    <t xml:space="preserve">FY32 units</t>
  </si>
  <si>
    <t xml:space="preserve">Demand pool &amp; market size (sourced)</t>
  </si>
  <si>
    <t xml:space="preserve">Capture %</t>
  </si>
  <si>
    <t xml:space="preserve">AD2 Smart Truck kit</t>
  </si>
  <si>
    <t xml:space="preserve">MANDATORY: 0.5M new N2/N3 trucks/yr + 0.5M retrofit</t>
  </si>
  <si>
    <t xml:space="preserve">MoRTH GSR 184(E) ADAS mandate on N2/N3</t>
  </si>
  <si>
    <t xml:space="preserve">AD0 Smart Mirror (360 view)</t>
  </si>
  <si>
    <t xml:space="preserve">Existing 360 surround-view market $3.1B (already selling)</t>
  </si>
  <si>
    <t xml:space="preserve">Towards Automotive: $3.09B 2025, 10.7% CAGR</t>
  </si>
  <si>
    <t xml:space="preserve">Warehouse/industrial autonomy; part of $4.8B edge-AI</t>
  </si>
  <si>
    <t xml:space="preserve">—</t>
  </si>
  <si>
    <t xml:space="preserve">Dataintelo/GMI automotive edge-AI 2025</t>
  </si>
  <si>
    <t xml:space="preserve">Autonomous TaaS (fleet)</t>
  </si>
  <si>
    <t xml:space="preserve">India trucking 0.6-0.8M units/yr; fleet ops</t>
  </si>
  <si>
    <t xml:space="preserve">Mobility Foresights; TheGlobalEconomy 952k CV</t>
  </si>
  <si>
    <t xml:space="preserve">Automated container terminal market $10.95B (2024)</t>
  </si>
  <si>
    <t xml:space="preserve">SNS Insider: $10.95B 2024 -&gt; $16.35B 2032, 5.2% CAGR</t>
  </si>
  <si>
    <t xml:space="preserve">A100 compute box (3 SKUs)</t>
  </si>
  <si>
    <t xml:space="preserve">Automotive edge-AI accelerator modules $4.8B (2025)</t>
  </si>
  <si>
    <t xml:space="preserve">Dataintelo: $4.8B 2025 -&gt; $22.6B 2034, 21% CAGR</t>
  </si>
  <si>
    <t xml:space="preserve">India ADAS chip pool; $2.29B ADAS (2024)</t>
  </si>
  <si>
    <t xml:space="preserve">EMR 2024: $2.29B, 20.6% CAGR</t>
  </si>
  <si>
    <t xml:space="preserve">Automotive thermal camera $1.68B global (2025)</t>
  </si>
  <si>
    <t xml:space="preserve">Verified Market Research: $1.68B 2025, 12% CAGR</t>
  </si>
  <si>
    <t xml:space="preserve">4D imaging radar $2.75B global (2025)</t>
  </si>
  <si>
    <t xml:space="preserve">Business Research Co./Mordor: ~$2.75B 2025, 13% CAGR</t>
  </si>
  <si>
    <t xml:space="preserve">DDAWS mandate (AIS-184) + global DMS demand</t>
  </si>
  <si>
    <t xml:space="preserve">MoRTH AIS-184; EU Reg 2021/267 (commercial DMS)</t>
  </si>
  <si>
    <t xml:space="preserve">Indian Army UGV/robotics procurement</t>
  </si>
  <si>
    <t xml:space="preserve">MoD/Army programs (existing Rs1 Cr revenue)</t>
  </si>
  <si>
    <t xml:space="preserve">India defence + commercial drone SoC</t>
  </si>
  <si>
    <t xml:space="preserve">Edge-AI drones segment (Mordor 18% CAGR)</t>
  </si>
  <si>
    <t xml:space="preserve">Every line maps to a real, sized market: our FY32 volumes are a single-digit share of each pool. Demand headroom is large, not stretched.</t>
  </si>
  <si>
    <t xml:space="preserve">Reading the capture %:</t>
  </si>
  <si>
    <t xml:space="preserve">1. Market sizes above are GLOBAL. Our near-term serviceable market is the India slice, where our share is materially higher — the small % = runway, not a ceiling.</t>
  </si>
  <si>
    <t xml:space="preserve">2. Seaport AGV pool ($10.95B) is TOTAL port automation (cranes + software + vehicles); the autonomous-vehicle layer we sell is a subset. Real proof point: live order at Vizag Container Terminal.</t>
  </si>
  <si>
    <t xml:space="preserve">3. Mandate timing: DDAWS / blind-spot / LDWS suite is live Apr &amp; Oct 2026 (what AD2 demand rests on). The AEBS braking piece (AIS-162/IS-11852) was deferred to Oct 1 2027 (Gadkari, Lok Sabha, Feb 2026) — does not affect the 2026 ADAS suite.</t>
  </si>
  <si>
    <t xml:space="preserve">Sources: MoRTH GSR 184(E) 20 Mar 2025; Roadzen/Telematicswire; IMARC &amp; Mordor (CV); EMR (ADAS); Dataintelo/GMI (edge-AI); Verified MR (thermal); Business Research Co. (4D radar); SNS Insider (container terminals). Share/conversion rows are our assumptions.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</si>
</sst>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0"/>
    <numFmt numFmtId="166" formatCode="0.0%;\(0.0%\);\-"/>
    <numFmt numFmtId="167" formatCode="#,##0.0;\(#,##0.0\);\-"/>
    <numFmt numFmtId="168" formatCode="#,##0"/>
    <numFmt numFmtId="169" formatCode="0.00\x"/>
    <numFmt numFmtId="170" formatCode="\+0.0%;\-0.0%;0.0%"/>
    <numFmt numFmtId="171" formatCode="\$#,##0.00\M"/>
    <numFmt numFmtId="172" formatCode="\$#,##0"/>
    <numFmt numFmtId="173" formatCode="\$#,##0.00"/>
    <numFmt numFmtId="174" formatCode="#,##0\x"/>
    <numFmt numFmtId="175" formatCode="General"/>
    <numFmt numFmtId="176" formatCode="#,##0.0"/>
    <numFmt numFmtId="177" formatCode="\$#,##0.00\B"/>
    <numFmt numFmtId="178" formatCode="0.0%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1F33"/>
      <name val="Arial"/>
      <family val="0"/>
      <charset val="1"/>
    </font>
    <font>
      <i val="true"/>
      <sz val="9"/>
      <color rgb="FF6B7A8C"/>
      <name val="Arial"/>
      <family val="0"/>
      <charset val="1"/>
    </font>
    <font>
      <b val="true"/>
      <i val="true"/>
      <sz val="9"/>
      <color rgb="FF0E7490"/>
      <name val="Arial"/>
      <family val="0"/>
      <charset val="1"/>
    </font>
    <font>
      <b val="true"/>
      <sz val="10"/>
      <color rgb="FF0E749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9"/>
      <color rgb="FF0E749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0B1F33"/>
      </bottom>
      <diagonal/>
    </border>
    <border diagonalUp="false" diagonalDown="false">
      <left/>
      <right/>
      <top style="thin">
        <color rgb="FF0B1F33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7490"/>
      <rgbColor rgb="FFC0C0C0"/>
      <rgbColor rgb="FF6B7A8C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B1F3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2:J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4"/>
    <col collapsed="false" customWidth="true" hidden="false" outlineLevel="0" max="8" min="3" style="1" width="11"/>
    <col collapsed="false" customWidth="true" hidden="false" outlineLevel="0" max="9" min="9" style="1" width="2"/>
    <col collapsed="false" customWidth="true" hidden="false" outlineLevel="0" max="10" min="10" style="1" width="48"/>
  </cols>
  <sheetData>
    <row r="2" customFormat="false" ht="17.2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</row>
    <row r="5" customFormat="false" ht="15" hidden="false" customHeight="true" outlineLevel="0" collapsed="false">
      <c r="B5" s="5" t="s">
        <v>3</v>
      </c>
    </row>
    <row r="6" customFormat="false" ht="15" hidden="false" customHeight="true" outlineLevel="0" collapsed="false">
      <c r="B6" s="6" t="s">
        <v>4</v>
      </c>
      <c r="C6" s="7" t="n">
        <v>94</v>
      </c>
      <c r="J6" s="3" t="s">
        <v>5</v>
      </c>
    </row>
    <row r="7" customFormat="false" ht="15" hidden="false" customHeight="true" outlineLevel="0" collapsed="false">
      <c r="B7" s="6" t="s">
        <v>6</v>
      </c>
      <c r="C7" s="8" t="n">
        <v>0.25</v>
      </c>
      <c r="J7" s="3" t="s">
        <v>7</v>
      </c>
    </row>
    <row r="8" customFormat="false" ht="15" hidden="false" customHeight="true" outlineLevel="0" collapsed="false">
      <c r="B8" s="6" t="s">
        <v>8</v>
      </c>
      <c r="C8" s="8" t="n">
        <v>0.24</v>
      </c>
      <c r="J8" s="3" t="s">
        <v>9</v>
      </c>
    </row>
    <row r="9" customFormat="false" ht="15" hidden="false" customHeight="true" outlineLevel="0" collapsed="false">
      <c r="B9" s="6" t="s">
        <v>10</v>
      </c>
      <c r="C9" s="8" t="n">
        <v>0.05</v>
      </c>
      <c r="J9" s="3" t="s">
        <v>11</v>
      </c>
    </row>
    <row r="10" customFormat="false" ht="15" hidden="false" customHeight="true" outlineLevel="0" collapsed="false">
      <c r="B10" s="6" t="s">
        <v>12</v>
      </c>
      <c r="C10" s="9" t="n">
        <v>204.03</v>
      </c>
      <c r="J10" s="3" t="s">
        <v>13</v>
      </c>
    </row>
    <row r="11" customFormat="false" ht="15" hidden="false" customHeight="true" outlineLevel="0" collapsed="false">
      <c r="B11" s="6" t="s">
        <v>14</v>
      </c>
      <c r="C11" s="9" t="n">
        <v>45</v>
      </c>
      <c r="J11" s="3" t="s">
        <v>15</v>
      </c>
    </row>
    <row r="12" customFormat="false" ht="15" hidden="false" customHeight="true" outlineLevel="0" collapsed="false">
      <c r="B12" s="6" t="s">
        <v>16</v>
      </c>
      <c r="C12" s="10" t="n">
        <v>20223</v>
      </c>
      <c r="J12" s="3" t="s">
        <v>17</v>
      </c>
    </row>
    <row r="13" customFormat="false" ht="15" hidden="false" customHeight="true" outlineLevel="0" collapsed="false">
      <c r="B13" s="6" t="s">
        <v>18</v>
      </c>
      <c r="C13" s="10" t="n">
        <v>100890</v>
      </c>
      <c r="J13" s="3" t="s">
        <v>19</v>
      </c>
    </row>
    <row r="15" customFormat="false" ht="15" hidden="false" customHeight="true" outlineLevel="0" collapsed="false">
      <c r="B15" s="6" t="s">
        <v>20</v>
      </c>
      <c r="C15" s="11" t="n">
        <f aca="false">C10+C11</f>
        <v>249.03</v>
      </c>
    </row>
    <row r="16" customFormat="false" ht="15" hidden="false" customHeight="true" outlineLevel="0" collapsed="false">
      <c r="B16" s="6" t="s">
        <v>21</v>
      </c>
      <c r="C16" s="12" t="n">
        <f aca="false">C11/C15</f>
        <v>0.180701120346946</v>
      </c>
    </row>
    <row r="17" customFormat="false" ht="15" hidden="false" customHeight="true" outlineLevel="0" collapsed="false">
      <c r="B17" s="6" t="s">
        <v>22</v>
      </c>
      <c r="C17" s="13" t="n">
        <f aca="false">ROUND(C11*10000000/C12,0)</f>
        <v>22252</v>
      </c>
    </row>
    <row r="19" customFormat="false" ht="15" hidden="false" customHeight="true" outlineLevel="0" collapsed="false">
      <c r="B19" s="5" t="s">
        <v>23</v>
      </c>
      <c r="C19" s="14" t="s">
        <v>24</v>
      </c>
      <c r="J19" s="3" t="s">
        <v>25</v>
      </c>
    </row>
    <row r="20" customFormat="false" ht="15" hidden="false" customHeight="true" outlineLevel="0" collapsed="false">
      <c r="B20" s="6" t="s">
        <v>26</v>
      </c>
      <c r="C20" s="15" t="n">
        <f aca="false">IF(C19="Bull",1.2,IF(C19="Bear",0.75,IF(C19="Downside",0.3,1)))</f>
        <v>1</v>
      </c>
    </row>
    <row r="21" customFormat="false" ht="15" hidden="false" customHeight="true" outlineLevel="0" collapsed="false">
      <c r="B21" s="6" t="s">
        <v>27</v>
      </c>
      <c r="C21" s="16" t="n">
        <f aca="false">IF(C19="Bull",-0.03,IF(C19="Bear",0.05,IF(C19="Downside",0.08,0)))</f>
        <v>0</v>
      </c>
    </row>
    <row r="23" customFormat="false" ht="15" hidden="false" customHeight="true" outlineLevel="0" collapsed="false">
      <c r="B23" s="5" t="s">
        <v>28</v>
      </c>
    </row>
    <row r="24" customFormat="false" ht="15" hidden="false" customHeight="true" outlineLevel="0" collapsed="false">
      <c r="B24" s="17" t="s">
        <v>29</v>
      </c>
      <c r="C24" s="18" t="s">
        <v>30</v>
      </c>
      <c r="D24" s="18" t="s">
        <v>31</v>
      </c>
      <c r="E24" s="18" t="s">
        <v>32</v>
      </c>
      <c r="F24" s="18" t="s">
        <v>33</v>
      </c>
      <c r="G24" s="18" t="s">
        <v>34</v>
      </c>
      <c r="H24" s="18" t="s">
        <v>35</v>
      </c>
      <c r="J24" s="3" t="s">
        <v>36</v>
      </c>
    </row>
    <row r="25" customFormat="false" ht="15" hidden="false" customHeight="true" outlineLevel="0" collapsed="false">
      <c r="B25" s="19" t="s">
        <v>37</v>
      </c>
      <c r="C25" s="8" t="n">
        <v>0.47</v>
      </c>
      <c r="D25" s="8" t="n">
        <v>0.73</v>
      </c>
      <c r="E25" s="8" t="n">
        <v>0.8</v>
      </c>
      <c r="F25" s="8" t="n">
        <v>0.83</v>
      </c>
      <c r="G25" s="8" t="n">
        <v>0.86</v>
      </c>
      <c r="H25" s="8" t="n">
        <v>0.89</v>
      </c>
    </row>
    <row r="26" customFormat="false" ht="15" hidden="false" customHeight="true" outlineLevel="0" collapsed="false">
      <c r="B26" s="19" t="s">
        <v>38</v>
      </c>
      <c r="C26" s="8" t="n">
        <v>0.3</v>
      </c>
      <c r="D26" s="8" t="n">
        <v>0.38</v>
      </c>
      <c r="E26" s="8" t="n">
        <v>0.42</v>
      </c>
      <c r="F26" s="8" t="n">
        <v>0.45</v>
      </c>
      <c r="G26" s="8" t="n">
        <v>0.48</v>
      </c>
      <c r="H26" s="8" t="n">
        <v>0.5</v>
      </c>
    </row>
    <row r="27" customFormat="false" ht="15" hidden="false" customHeight="true" outlineLevel="0" collapsed="false">
      <c r="B27" s="19" t="s">
        <v>39</v>
      </c>
      <c r="C27" s="8" t="n">
        <v>0.55</v>
      </c>
      <c r="D27" s="8" t="n">
        <v>0.78</v>
      </c>
      <c r="E27" s="8" t="n">
        <v>0.86</v>
      </c>
      <c r="F27" s="8" t="n">
        <v>0.9</v>
      </c>
      <c r="G27" s="8" t="n">
        <v>0.92</v>
      </c>
      <c r="H27" s="8" t="n">
        <v>0.94</v>
      </c>
    </row>
    <row r="28" customFormat="false" ht="15" hidden="false" customHeight="true" outlineLevel="0" collapsed="false">
      <c r="B28" s="19" t="s">
        <v>40</v>
      </c>
      <c r="C28" s="8" t="n">
        <v>0.42</v>
      </c>
      <c r="D28" s="8" t="n">
        <v>0.55</v>
      </c>
      <c r="E28" s="8" t="n">
        <v>0.6</v>
      </c>
      <c r="F28" s="8" t="n">
        <v>0.64</v>
      </c>
      <c r="G28" s="8" t="n">
        <v>0.66</v>
      </c>
      <c r="H28" s="8" t="n">
        <v>0.68</v>
      </c>
    </row>
    <row r="30" customFormat="false" ht="15" hidden="false" customHeight="true" outlineLevel="0" collapsed="false">
      <c r="B30" s="5" t="s">
        <v>41</v>
      </c>
    </row>
    <row r="31" customFormat="false" ht="15" hidden="false" customHeight="true" outlineLevel="0" collapsed="false">
      <c r="B31" s="17" t="s">
        <v>42</v>
      </c>
      <c r="C31" s="18" t="s">
        <v>30</v>
      </c>
      <c r="D31" s="18" t="s">
        <v>31</v>
      </c>
      <c r="E31" s="18" t="s">
        <v>32</v>
      </c>
      <c r="F31" s="18" t="s">
        <v>33</v>
      </c>
      <c r="G31" s="18" t="s">
        <v>34</v>
      </c>
      <c r="H31" s="18" t="s">
        <v>35</v>
      </c>
      <c r="J31" s="3" t="s">
        <v>43</v>
      </c>
    </row>
    <row r="32" customFormat="false" ht="15" hidden="false" customHeight="true" outlineLevel="0" collapsed="false">
      <c r="B32" s="19" t="s">
        <v>44</v>
      </c>
      <c r="C32" s="8" t="n">
        <v>0.38</v>
      </c>
      <c r="D32" s="8" t="n">
        <v>0.37</v>
      </c>
      <c r="E32" s="8" t="n">
        <v>0.36</v>
      </c>
      <c r="F32" s="8" t="n">
        <v>0.35</v>
      </c>
      <c r="G32" s="8" t="n">
        <v>0.34</v>
      </c>
      <c r="H32" s="8" t="n">
        <v>0.33</v>
      </c>
      <c r="J32" s="3" t="s">
        <v>45</v>
      </c>
    </row>
    <row r="33" customFormat="false" ht="15" hidden="false" customHeight="true" outlineLevel="0" collapsed="false">
      <c r="B33" s="19" t="s">
        <v>46</v>
      </c>
      <c r="C33" s="8" t="n">
        <v>0.3</v>
      </c>
      <c r="D33" s="8" t="n">
        <v>0.26</v>
      </c>
      <c r="E33" s="8" t="n">
        <v>0.22</v>
      </c>
      <c r="F33" s="8" t="n">
        <v>0.19</v>
      </c>
      <c r="G33" s="8" t="n">
        <v>0.18</v>
      </c>
      <c r="H33" s="8" t="n">
        <v>0.18</v>
      </c>
      <c r="J33" s="3" t="s">
        <v>47</v>
      </c>
    </row>
    <row r="34" customFormat="false" ht="15" hidden="false" customHeight="true" outlineLevel="0" collapsed="false">
      <c r="B34" s="19" t="s">
        <v>48</v>
      </c>
      <c r="C34" s="8" t="n">
        <v>0.15</v>
      </c>
      <c r="D34" s="8" t="n">
        <v>0.145</v>
      </c>
      <c r="E34" s="8" t="n">
        <v>0.14</v>
      </c>
      <c r="F34" s="8" t="n">
        <v>0.135</v>
      </c>
      <c r="G34" s="8" t="n">
        <v>0.13</v>
      </c>
      <c r="H34" s="8" t="n">
        <v>0.125</v>
      </c>
    </row>
    <row r="35" customFormat="false" ht="15" hidden="false" customHeight="true" outlineLevel="0" collapsed="false">
      <c r="B35" s="19" t="s">
        <v>49</v>
      </c>
      <c r="C35" s="8" t="n">
        <v>0.1</v>
      </c>
      <c r="D35" s="8" t="n">
        <v>0.095</v>
      </c>
      <c r="E35" s="8" t="n">
        <v>0.09</v>
      </c>
      <c r="F35" s="8" t="n">
        <v>0.085</v>
      </c>
      <c r="G35" s="8" t="n">
        <v>0.08</v>
      </c>
      <c r="H35" s="8" t="n">
        <v>0.075</v>
      </c>
    </row>
    <row r="36" customFormat="false" ht="15" hidden="false" customHeight="true" outlineLevel="0" collapsed="false">
      <c r="B36" s="19" t="s">
        <v>50</v>
      </c>
      <c r="C36" s="8" t="n">
        <v>0.02</v>
      </c>
      <c r="D36" s="8" t="n">
        <v>0.02</v>
      </c>
      <c r="E36" s="8" t="n">
        <v>0.02</v>
      </c>
      <c r="F36" s="8" t="n">
        <v>0.02</v>
      </c>
      <c r="G36" s="8" t="n">
        <v>0.02</v>
      </c>
      <c r="H36" s="8" t="n">
        <v>0.02</v>
      </c>
    </row>
    <row r="38" customFormat="false" ht="15" hidden="false" customHeight="true" outlineLevel="0" collapsed="false">
      <c r="B38" s="6" t="s">
        <v>51</v>
      </c>
      <c r="C38" s="12" t="n">
        <f aca="false">C32+C34+C35+$C$21</f>
        <v>0.63</v>
      </c>
      <c r="D38" s="12" t="n">
        <f aca="false">D32+D34+D35+$C$21</f>
        <v>0.61</v>
      </c>
      <c r="E38" s="12" t="n">
        <f aca="false">E32+E34+E35+$C$21</f>
        <v>0.59</v>
      </c>
      <c r="F38" s="12" t="n">
        <f aca="false">F32+F34+F35+$C$21</f>
        <v>0.57</v>
      </c>
      <c r="G38" s="12" t="n">
        <f aca="false">G32+G34+G35+$C$21</f>
        <v>0.55</v>
      </c>
      <c r="H38" s="12" t="n">
        <f aca="false">H32+H34+H35+$C$21</f>
        <v>0.53</v>
      </c>
    </row>
    <row r="39" customFormat="false" ht="15" hidden="false" customHeight="false" outlineLevel="0" collapsed="false">
      <c r="B39" s="1" t="s">
        <v>52</v>
      </c>
      <c r="C39" s="1" t="n">
        <v>0.025</v>
      </c>
      <c r="J39" s="1" t="s">
        <v>53</v>
      </c>
    </row>
    <row r="40" customFormat="false" ht="15" hidden="false" customHeight="true" outlineLevel="0" collapsed="false">
      <c r="B40" s="3" t="s">
        <v>54</v>
      </c>
      <c r="C40" s="1" t="n">
        <v>0.23</v>
      </c>
      <c r="J40" s="1" t="s">
        <v>55</v>
      </c>
    </row>
    <row r="41" customFormat="false" ht="15" hidden="false" customHeight="false" outlineLevel="0" collapsed="false">
      <c r="B41" s="1" t="s">
        <v>56</v>
      </c>
      <c r="C41" s="1" t="n">
        <v>0.32</v>
      </c>
      <c r="J41" s="1" t="s">
        <v>57</v>
      </c>
    </row>
    <row r="42" customFormat="false" ht="15" hidden="false" customHeight="false" outlineLevel="0" collapsed="false">
      <c r="B42" s="1" t="s">
        <v>58</v>
      </c>
      <c r="C42" s="1" t="n">
        <f aca="false">C41-C40</f>
        <v>0.09</v>
      </c>
      <c r="J42" s="1" t="s">
        <v>59</v>
      </c>
    </row>
    <row r="43" customFormat="false" ht="15" hidden="false" customHeight="false" outlineLevel="0" collapsed="false">
      <c r="B43" s="1" t="s">
        <v>60</v>
      </c>
      <c r="C43" s="1" t="n">
        <v>1.2</v>
      </c>
      <c r="J43" s="1" t="s">
        <v>61</v>
      </c>
    </row>
    <row r="44" customFormat="false" ht="15" hidden="false" customHeight="false" outlineLevel="0" collapsed="false">
      <c r="B44" s="1" t="s">
        <v>62</v>
      </c>
      <c r="C44" s="1" t="n">
        <v>0.5</v>
      </c>
      <c r="J44" s="1" t="s">
        <v>63</v>
      </c>
    </row>
    <row r="45" customFormat="false" ht="15" hidden="false" customHeight="false" outlineLevel="0" collapsed="false">
      <c r="B45" s="1" t="s">
        <v>64</v>
      </c>
      <c r="C45" s="1" t="s">
        <v>65</v>
      </c>
      <c r="J45" s="1" t="s">
        <v>66</v>
      </c>
    </row>
    <row r="46" customFormat="false" ht="15" hidden="false" customHeight="false" outlineLevel="0" collapsed="false">
      <c r="B46" s="1" t="s">
        <v>67</v>
      </c>
      <c r="C46" s="1" t="s">
        <v>68</v>
      </c>
      <c r="J46" s="1" t="s">
        <v>69</v>
      </c>
    </row>
  </sheetData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2:J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9"/>
    <col collapsed="false" customWidth="true" hidden="false" outlineLevel="0" max="3" min="3" style="1" width="14"/>
    <col collapsed="false" customWidth="true" hidden="false" outlineLevel="0" max="4" min="4" style="1" width="12"/>
    <col collapsed="false" customWidth="true" hidden="false" outlineLevel="0" max="10" min="5" style="1" width="10.51"/>
  </cols>
  <sheetData>
    <row r="2" customFormat="false" ht="17.25" hidden="false" customHeight="true" outlineLevel="0" collapsed="false">
      <c r="B2" s="2" t="s">
        <v>70</v>
      </c>
    </row>
    <row r="3" customFormat="false" ht="15" hidden="false" customHeight="true" outlineLevel="0" collapsed="false">
      <c r="B3" s="3" t="s">
        <v>71</v>
      </c>
    </row>
    <row r="5" customFormat="false" ht="15" hidden="false" customHeight="true" outlineLevel="0" collapsed="false">
      <c r="B5" s="5" t="s">
        <v>72</v>
      </c>
    </row>
    <row r="6" customFormat="false" ht="15" hidden="false" customHeight="true" outlineLevel="0" collapsed="false">
      <c r="B6" s="17" t="s">
        <v>73</v>
      </c>
      <c r="E6" s="18" t="s">
        <v>30</v>
      </c>
      <c r="F6" s="18" t="s">
        <v>31</v>
      </c>
      <c r="G6" s="18" t="s">
        <v>32</v>
      </c>
      <c r="H6" s="18" t="s">
        <v>33</v>
      </c>
      <c r="I6" s="18" t="s">
        <v>34</v>
      </c>
      <c r="J6" s="18" t="s">
        <v>35</v>
      </c>
    </row>
    <row r="7" customFormat="false" ht="15" hidden="false" customHeight="true" outlineLevel="0" collapsed="false">
      <c r="B7" s="6" t="s">
        <v>74</v>
      </c>
      <c r="E7" s="11" t="n">
        <f aca="false">E61+E62+E63</f>
        <v>0.125</v>
      </c>
      <c r="F7" s="11" t="n">
        <f aca="false">F61+F62+F63</f>
        <v>13.2</v>
      </c>
      <c r="G7" s="11" t="n">
        <f aca="false">G61+G62+G63</f>
        <v>79</v>
      </c>
      <c r="H7" s="11" t="n">
        <f aca="false">H61+H62+H63</f>
        <v>200</v>
      </c>
      <c r="I7" s="11" t="n">
        <f aca="false">I61+I62+I63</f>
        <v>417</v>
      </c>
      <c r="J7" s="11" t="n">
        <f aca="false">J61+J62+J63</f>
        <v>762</v>
      </c>
    </row>
    <row r="8" customFormat="false" ht="15" hidden="false" customHeight="true" outlineLevel="0" collapsed="false">
      <c r="B8" s="6" t="s">
        <v>75</v>
      </c>
      <c r="E8" s="11" t="n">
        <f aca="false">E69+E70+E71+E72+E73</f>
        <v>0</v>
      </c>
      <c r="F8" s="11" t="n">
        <f aca="false">F69+F70+F71+F72+F73</f>
        <v>5.71</v>
      </c>
      <c r="G8" s="11" t="n">
        <f aca="false">G69+G70+G71+G72+G73</f>
        <v>16.4375</v>
      </c>
      <c r="H8" s="11" t="n">
        <f aca="false">H69+H70+H71+H72+H73</f>
        <v>39.375</v>
      </c>
      <c r="I8" s="11" t="n">
        <f aca="false">I69+I70+I71+I72+I73</f>
        <v>90.15</v>
      </c>
      <c r="J8" s="11" t="n">
        <f aca="false">J69+J70+J71+J72+J73</f>
        <v>194.3</v>
      </c>
    </row>
    <row r="9" customFormat="false" ht="15" hidden="false" customHeight="true" outlineLevel="0" collapsed="false">
      <c r="B9" s="6" t="s">
        <v>76</v>
      </c>
      <c r="E9" s="11" t="n">
        <f aca="false">E64+E65</f>
        <v>0</v>
      </c>
      <c r="F9" s="11" t="n">
        <f aca="false">F64+F65</f>
        <v>4.206</v>
      </c>
      <c r="G9" s="11" t="n">
        <f aca="false">G64+G65</f>
        <v>8.865</v>
      </c>
      <c r="H9" s="11" t="n">
        <f aca="false">H64+H65</f>
        <v>21.03</v>
      </c>
      <c r="I9" s="11" t="n">
        <f aca="false">I64+I65</f>
        <v>39.795</v>
      </c>
      <c r="J9" s="11" t="n">
        <f aca="false">J64+J65</f>
        <v>88.65</v>
      </c>
    </row>
    <row r="10" customFormat="false" ht="15" hidden="false" customHeight="true" outlineLevel="0" collapsed="false">
      <c r="B10" s="6" t="s">
        <v>77</v>
      </c>
      <c r="E10" s="11" t="n">
        <f aca="false">E66+E67+E68+E74+E75</f>
        <v>1.575</v>
      </c>
      <c r="F10" s="11" t="n">
        <f aca="false">F66+F67+F68+F74+F75</f>
        <v>4.7</v>
      </c>
      <c r="G10" s="11" t="n">
        <f aca="false">G66+G67+G68+G74+G75</f>
        <v>11.075</v>
      </c>
      <c r="H10" s="11" t="n">
        <f aca="false">H66+H67+H68+H74+H75</f>
        <v>24.25</v>
      </c>
      <c r="I10" s="11" t="n">
        <f aca="false">I66+I67+I68+I74+I75</f>
        <v>47.35</v>
      </c>
      <c r="J10" s="11" t="n">
        <f aca="false">J66+J67+J68+J74+J75</f>
        <v>83.5</v>
      </c>
    </row>
    <row r="11" customFormat="false" ht="15" hidden="false" customHeight="true" outlineLevel="0" collapsed="false">
      <c r="B11" s="17" t="s">
        <v>78</v>
      </c>
      <c r="E11" s="20" t="n">
        <f aca="false">SUM(E7:E10)</f>
        <v>1.7</v>
      </c>
      <c r="F11" s="20" t="n">
        <f aca="false">SUM(F7:F10)</f>
        <v>27.816</v>
      </c>
      <c r="G11" s="20" t="n">
        <f aca="false">SUM(G7:G10)</f>
        <v>115.3775</v>
      </c>
      <c r="H11" s="20" t="n">
        <f aca="false">SUM(H7:H10)</f>
        <v>284.655</v>
      </c>
      <c r="I11" s="20" t="n">
        <f aca="false">SUM(I7:I10)</f>
        <v>594.295</v>
      </c>
      <c r="J11" s="20" t="n">
        <f aca="false">SUM(J7:J10)</f>
        <v>1128.45</v>
      </c>
    </row>
    <row r="12" customFormat="false" ht="15" hidden="false" customHeight="true" outlineLevel="0" collapsed="false">
      <c r="B12" s="3" t="s">
        <v>79</v>
      </c>
    </row>
    <row r="14" customFormat="false" ht="15" hidden="false" customHeight="true" outlineLevel="0" collapsed="false">
      <c r="B14" s="5" t="s">
        <v>80</v>
      </c>
    </row>
    <row r="15" customFormat="false" ht="15" hidden="false" customHeight="true" outlineLevel="0" collapsed="false">
      <c r="B15" s="17" t="s">
        <v>29</v>
      </c>
      <c r="E15" s="18" t="s">
        <v>30</v>
      </c>
      <c r="F15" s="18" t="s">
        <v>31</v>
      </c>
      <c r="G15" s="18" t="s">
        <v>32</v>
      </c>
      <c r="H15" s="18" t="s">
        <v>33</v>
      </c>
      <c r="I15" s="18" t="s">
        <v>34</v>
      </c>
      <c r="J15" s="18" t="s">
        <v>35</v>
      </c>
    </row>
    <row r="16" customFormat="false" ht="15" hidden="false" customHeight="true" outlineLevel="0" collapsed="false">
      <c r="B16" s="6" t="s">
        <v>37</v>
      </c>
      <c r="E16" s="11" t="n">
        <f aca="false">SUMIF($C$61:$C$75,$B16,E$61:E$75)</f>
        <v>0.125</v>
      </c>
      <c r="F16" s="11" t="n">
        <f aca="false">SUMIF($C$61:$C$75,$B16,F$61:F$75)</f>
        <v>23.062</v>
      </c>
      <c r="G16" s="11" t="n">
        <f aca="false">SUMIF($C$61:$C$75,$B16,G$61:G$75)</f>
        <v>99.1525</v>
      </c>
      <c r="H16" s="11" t="n">
        <f aca="false">SUMIF($C$61:$C$75,$B16,H$61:H$75)</f>
        <v>243.605</v>
      </c>
      <c r="I16" s="11" t="n">
        <f aca="false">SUMIF($C$61:$C$75,$B16,I$61:I$75)</f>
        <v>501.945</v>
      </c>
      <c r="J16" s="11" t="n">
        <f aca="false">SUMIF($C$61:$C$75,$B16,J$61:J$75)</f>
        <v>940.95</v>
      </c>
    </row>
    <row r="17" customFormat="false" ht="15" hidden="false" customHeight="true" outlineLevel="0" collapsed="false">
      <c r="B17" s="6" t="s">
        <v>38</v>
      </c>
      <c r="E17" s="11" t="n">
        <f aca="false">SUMIF($C$61:$C$75,$B17,E$61:E$75)</f>
        <v>0.375</v>
      </c>
      <c r="F17" s="11" t="n">
        <f aca="false">SUMIF($C$61:$C$75,$B17,F$61:F$75)</f>
        <v>1.45</v>
      </c>
      <c r="G17" s="11" t="n">
        <f aca="false">SUMIF($C$61:$C$75,$B17,G$61:G$75)</f>
        <v>3.975</v>
      </c>
      <c r="H17" s="11" t="n">
        <f aca="false">SUMIF($C$61:$C$75,$B17,H$61:H$75)</f>
        <v>9</v>
      </c>
      <c r="I17" s="11" t="n">
        <f aca="false">SUMIF($C$61:$C$75,$B17,I$61:I$75)</f>
        <v>18.5</v>
      </c>
      <c r="J17" s="11" t="n">
        <f aca="false">SUMIF($C$61:$C$75,$B17,J$61:J$75)</f>
        <v>33.5</v>
      </c>
    </row>
    <row r="18" customFormat="false" ht="15" hidden="false" customHeight="true" outlineLevel="0" collapsed="false">
      <c r="B18" s="6" t="s">
        <v>39</v>
      </c>
      <c r="E18" s="11" t="n">
        <f aca="false">SUMIF($C$61:$C$75,$B18,E$61:E$75)</f>
        <v>0</v>
      </c>
      <c r="F18" s="11" t="n">
        <f aca="false">SUMIF($C$61:$C$75,$B18,F$61:F$75)</f>
        <v>0.054</v>
      </c>
      <c r="G18" s="11" t="n">
        <f aca="false">SUMIF($C$61:$C$75,$B18,G$61:G$75)</f>
        <v>5.15</v>
      </c>
      <c r="H18" s="11" t="n">
        <f aca="false">SUMIF($C$61:$C$75,$B18,H$61:H$75)</f>
        <v>16.8</v>
      </c>
      <c r="I18" s="11" t="n">
        <f aca="false">SUMIF($C$61:$C$75,$B18,I$61:I$75)</f>
        <v>45</v>
      </c>
      <c r="J18" s="11" t="n">
        <f aca="false">SUMIF($C$61:$C$75,$B18,J$61:J$75)</f>
        <v>104</v>
      </c>
    </row>
    <row r="19" customFormat="false" ht="15" hidden="false" customHeight="true" outlineLevel="0" collapsed="false">
      <c r="B19" s="6" t="s">
        <v>40</v>
      </c>
      <c r="E19" s="11" t="n">
        <f aca="false">SUMIF($C$61:$C$75,$B19,E$61:E$75)</f>
        <v>1.2</v>
      </c>
      <c r="F19" s="11" t="n">
        <f aca="false">SUMIF($C$61:$C$75,$B19,F$61:F$75)</f>
        <v>3.25</v>
      </c>
      <c r="G19" s="11" t="n">
        <f aca="false">SUMIF($C$61:$C$75,$B19,G$61:G$75)</f>
        <v>7.1</v>
      </c>
      <c r="H19" s="11" t="n">
        <f aca="false">SUMIF($C$61:$C$75,$B19,H$61:H$75)</f>
        <v>15.25</v>
      </c>
      <c r="I19" s="11" t="n">
        <f aca="false">SUMIF($C$61:$C$75,$B19,I$61:I$75)</f>
        <v>28.85</v>
      </c>
      <c r="J19" s="11" t="n">
        <f aca="false">SUMIF($C$61:$C$75,$B19,J$61:J$75)</f>
        <v>50</v>
      </c>
    </row>
    <row r="20" customFormat="false" ht="15" hidden="false" customHeight="true" outlineLevel="0" collapsed="false">
      <c r="B20" s="17" t="s">
        <v>78</v>
      </c>
      <c r="E20" s="20" t="n">
        <f aca="false">SUM(E16:E19)</f>
        <v>1.7</v>
      </c>
      <c r="F20" s="20" t="n">
        <f aca="false">SUM(F16:F19)</f>
        <v>27.816</v>
      </c>
      <c r="G20" s="20" t="n">
        <f aca="false">SUM(G16:G19)</f>
        <v>115.3775</v>
      </c>
      <c r="H20" s="20" t="n">
        <f aca="false">SUM(H16:H19)</f>
        <v>284.655</v>
      </c>
      <c r="I20" s="20" t="n">
        <f aca="false">SUM(I16:I19)</f>
        <v>594.295</v>
      </c>
      <c r="J20" s="20" t="n">
        <f aca="false">SUM(J16:J19)</f>
        <v>1128.45</v>
      </c>
    </row>
    <row r="21" customFormat="false" ht="15" hidden="false" customHeight="true" outlineLevel="0" collapsed="false">
      <c r="B21" s="6" t="s">
        <v>81</v>
      </c>
      <c r="E21" s="12" t="n">
        <f aca="false">E16/E20</f>
        <v>0.0735294117647059</v>
      </c>
      <c r="F21" s="12" t="n">
        <f aca="false">F16/F20</f>
        <v>0.829091170549324</v>
      </c>
      <c r="G21" s="12" t="n">
        <f aca="false">G16/G20</f>
        <v>0.859374661437455</v>
      </c>
      <c r="H21" s="12" t="n">
        <f aca="false">H16/H20</f>
        <v>0.855790342695544</v>
      </c>
      <c r="I21" s="12" t="n">
        <f aca="false">I16/I20</f>
        <v>0.844605793419093</v>
      </c>
      <c r="J21" s="12" t="n">
        <f aca="false">J16/J20</f>
        <v>0.833842881829058</v>
      </c>
    </row>
    <row r="23" customFormat="false" ht="15" hidden="false" customHeight="true" outlineLevel="0" collapsed="false">
      <c r="B23" s="5" t="s">
        <v>82</v>
      </c>
    </row>
    <row r="24" customFormat="false" ht="15" hidden="false" customHeight="true" outlineLevel="0" collapsed="false">
      <c r="B24" s="17" t="s">
        <v>83</v>
      </c>
      <c r="E24" s="18" t="s">
        <v>30</v>
      </c>
      <c r="F24" s="18" t="s">
        <v>31</v>
      </c>
      <c r="G24" s="18" t="s">
        <v>32</v>
      </c>
      <c r="H24" s="18" t="s">
        <v>33</v>
      </c>
      <c r="I24" s="18" t="s">
        <v>34</v>
      </c>
      <c r="J24" s="18" t="s">
        <v>35</v>
      </c>
    </row>
    <row r="25" customFormat="false" ht="15" hidden="false" customHeight="true" outlineLevel="0" collapsed="false">
      <c r="B25" s="6" t="s">
        <v>84</v>
      </c>
      <c r="E25" s="11" t="n">
        <f aca="false">SUMIF($D$61:$D$75,"Outdoor",E$61:E$75)</f>
        <v>1.7</v>
      </c>
      <c r="F25" s="11" t="n">
        <f aca="false">SUMIF($D$61:$D$75,"Outdoor",F$61:F$75)</f>
        <v>21.054</v>
      </c>
      <c r="G25" s="11" t="n">
        <f aca="false">SUMIF($D$61:$D$75,"Outdoor",G$61:G$75)</f>
        <v>97.825</v>
      </c>
      <c r="H25" s="11" t="n">
        <f aca="false">SUMIF($D$61:$D$75,"Outdoor",H$61:H$75)</f>
        <v>247.55</v>
      </c>
      <c r="I25" s="11" t="n">
        <f aca="false">SUMIF($D$61:$D$75,"Outdoor",I$61:I$75)</f>
        <v>520.35</v>
      </c>
      <c r="J25" s="11" t="n">
        <f aca="false">SUMIF($D$61:$D$75,"Outdoor",J$61:J$75)</f>
        <v>973.5</v>
      </c>
    </row>
    <row r="26" customFormat="false" ht="15" hidden="false" customHeight="true" outlineLevel="0" collapsed="false">
      <c r="B26" s="6" t="s">
        <v>85</v>
      </c>
      <c r="E26" s="11" t="n">
        <f aca="false">SUMIF($D$61:$D$75,"Indoor",E$61:E$75)</f>
        <v>0</v>
      </c>
      <c r="F26" s="11" t="n">
        <f aca="false">SUMIF($D$61:$D$75,"Indoor",F$61:F$75)</f>
        <v>1.106</v>
      </c>
      <c r="G26" s="11" t="n">
        <f aca="false">SUMIF($D$61:$D$75,"Indoor",G$61:G$75)</f>
        <v>6.265</v>
      </c>
      <c r="H26" s="11" t="n">
        <f aca="false">SUMIF($D$61:$D$75,"Indoor",H$61:H$75)</f>
        <v>14.53</v>
      </c>
      <c r="I26" s="11" t="n">
        <f aca="false">SUMIF($D$61:$D$75,"Indoor",I$61:I$75)</f>
        <v>28.795</v>
      </c>
      <c r="J26" s="11" t="n">
        <f aca="false">SUMIF($D$61:$D$75,"Indoor",J$61:J$75)</f>
        <v>64.65</v>
      </c>
    </row>
    <row r="27" customFormat="false" ht="15" hidden="false" customHeight="true" outlineLevel="0" collapsed="false">
      <c r="B27" s="6" t="s">
        <v>86</v>
      </c>
      <c r="E27" s="11" t="n">
        <f aca="false">SUMIF($D$61:$D$75,"Compute",E$61:E$75)</f>
        <v>0</v>
      </c>
      <c r="F27" s="11" t="n">
        <f aca="false">SUMIF($D$61:$D$75,"Compute",F$61:F$75)</f>
        <v>5.656</v>
      </c>
      <c r="G27" s="11" t="n">
        <f aca="false">SUMIF($D$61:$D$75,"Compute",G$61:G$75)</f>
        <v>11.2875</v>
      </c>
      <c r="H27" s="11" t="n">
        <f aca="false">SUMIF($D$61:$D$75,"Compute",H$61:H$75)</f>
        <v>22.575</v>
      </c>
      <c r="I27" s="11" t="n">
        <f aca="false">SUMIF($D$61:$D$75,"Compute",I$61:I$75)</f>
        <v>45.15</v>
      </c>
      <c r="J27" s="11" t="n">
        <f aca="false">SUMIF($D$61:$D$75,"Compute",J$61:J$75)</f>
        <v>90.3</v>
      </c>
    </row>
    <row r="28" customFormat="false" ht="15" hidden="false" customHeight="true" outlineLevel="0" collapsed="false">
      <c r="B28" s="17" t="s">
        <v>78</v>
      </c>
      <c r="E28" s="20" t="n">
        <f aca="false">SUM(E25:E27)</f>
        <v>1.7</v>
      </c>
      <c r="F28" s="20" t="n">
        <f aca="false">SUM(F25:F27)</f>
        <v>27.816</v>
      </c>
      <c r="G28" s="20" t="n">
        <f aca="false">SUM(G25:G27)</f>
        <v>115.3775</v>
      </c>
      <c r="H28" s="20" t="n">
        <f aca="false">SUM(H25:H27)</f>
        <v>284.655</v>
      </c>
      <c r="I28" s="20" t="n">
        <f aca="false">SUM(I25:I27)</f>
        <v>594.295</v>
      </c>
      <c r="J28" s="20" t="n">
        <f aca="false">SUM(J25:J27)</f>
        <v>1128.45</v>
      </c>
    </row>
    <row r="29" customFormat="false" ht="15" hidden="false" customHeight="true" outlineLevel="0" collapsed="false">
      <c r="B29" s="6" t="s">
        <v>87</v>
      </c>
      <c r="E29" s="12" t="n">
        <f aca="false">E26/E28</f>
        <v>0</v>
      </c>
      <c r="F29" s="12" t="n">
        <f aca="false">F26/F28</f>
        <v>0.0397612884670693</v>
      </c>
      <c r="G29" s="12" t="n">
        <f aca="false">G26/G28</f>
        <v>0.054300015167602</v>
      </c>
      <c r="H29" s="12" t="n">
        <f aca="false">H26/H28</f>
        <v>0.0510442465440621</v>
      </c>
      <c r="I29" s="12" t="n">
        <f aca="false">I26/I28</f>
        <v>0.0484523679317511</v>
      </c>
      <c r="J29" s="12" t="n">
        <f aca="false">J26/J28</f>
        <v>0.057290974345341</v>
      </c>
    </row>
    <row r="30" customFormat="false" ht="15" hidden="false" customHeight="true" outlineLevel="0" collapsed="false">
      <c r="B30" s="3" t="s">
        <v>88</v>
      </c>
    </row>
    <row r="32" customFormat="false" ht="15" hidden="false" customHeight="true" outlineLevel="0" collapsed="false">
      <c r="B32" s="5" t="s">
        <v>89</v>
      </c>
    </row>
    <row r="33" customFormat="false" ht="15" hidden="false" customHeight="true" outlineLevel="0" collapsed="false">
      <c r="B33" s="17" t="s">
        <v>90</v>
      </c>
      <c r="E33" s="18" t="s">
        <v>30</v>
      </c>
      <c r="F33" s="18" t="s">
        <v>31</v>
      </c>
      <c r="G33" s="18" t="s">
        <v>32</v>
      </c>
      <c r="H33" s="18" t="s">
        <v>33</v>
      </c>
      <c r="I33" s="18" t="s">
        <v>34</v>
      </c>
      <c r="J33" s="18" t="s">
        <v>35</v>
      </c>
    </row>
    <row r="34" customFormat="false" ht="15" hidden="false" customHeight="true" outlineLevel="0" collapsed="false">
      <c r="B34" s="19" t="s">
        <v>91</v>
      </c>
      <c r="E34" s="10" t="n">
        <v>5</v>
      </c>
      <c r="F34" s="10" t="n">
        <v>15</v>
      </c>
      <c r="G34" s="10" t="n">
        <v>40</v>
      </c>
      <c r="H34" s="10" t="n">
        <v>120</v>
      </c>
      <c r="I34" s="10" t="n">
        <v>300</v>
      </c>
      <c r="J34" s="10" t="n">
        <v>650</v>
      </c>
    </row>
    <row r="35" customFormat="false" ht="15" hidden="false" customHeight="true" outlineLevel="0" collapsed="false">
      <c r="B35" s="6" t="s">
        <v>92</v>
      </c>
      <c r="E35" s="11" t="n">
        <f aca="false">E76/E34</f>
        <v>0.34</v>
      </c>
      <c r="F35" s="11" t="n">
        <f aca="false">F76/F34</f>
        <v>1.8544</v>
      </c>
      <c r="G35" s="11" t="n">
        <f aca="false">G76/G34</f>
        <v>2.8844375</v>
      </c>
      <c r="H35" s="11" t="n">
        <f aca="false">H76/H34</f>
        <v>2.372125</v>
      </c>
      <c r="I35" s="11" t="n">
        <f aca="false">I76/I34</f>
        <v>1.98098333333333</v>
      </c>
      <c r="J35" s="11" t="n">
        <f aca="false">J76/J34</f>
        <v>1.73607692307692</v>
      </c>
    </row>
    <row r="36" customFormat="false" ht="15" hidden="false" customHeight="true" outlineLevel="0" collapsed="false">
      <c r="B36" s="3" t="s">
        <v>93</v>
      </c>
    </row>
    <row r="41" customFormat="false" ht="15" hidden="false" customHeight="true" outlineLevel="0" collapsed="false">
      <c r="B41" s="5" t="s">
        <v>94</v>
      </c>
    </row>
    <row r="42" customFormat="false" ht="15" hidden="false" customHeight="true" outlineLevel="0" collapsed="false">
      <c r="B42" s="17" t="s">
        <v>95</v>
      </c>
      <c r="C42" s="17" t="s">
        <v>29</v>
      </c>
      <c r="D42" s="21" t="s">
        <v>96</v>
      </c>
      <c r="E42" s="18" t="s">
        <v>30</v>
      </c>
      <c r="F42" s="18" t="s">
        <v>31</v>
      </c>
      <c r="G42" s="18" t="s">
        <v>32</v>
      </c>
      <c r="H42" s="18" t="s">
        <v>33</v>
      </c>
      <c r="I42" s="18" t="s">
        <v>34</v>
      </c>
      <c r="J42" s="18" t="s">
        <v>35</v>
      </c>
    </row>
    <row r="43" customFormat="false" ht="15" hidden="false" customHeight="true" outlineLevel="0" collapsed="false">
      <c r="B43" s="3" t="s">
        <v>97</v>
      </c>
    </row>
    <row r="44" customFormat="false" ht="15" hidden="false" customHeight="true" outlineLevel="0" collapsed="false">
      <c r="B44" s="6" t="s">
        <v>98</v>
      </c>
      <c r="C44" s="6" t="s">
        <v>37</v>
      </c>
      <c r="D44" s="10" t="n">
        <v>50000</v>
      </c>
      <c r="E44" s="10" t="n">
        <v>10</v>
      </c>
      <c r="F44" s="10" t="n">
        <v>2200</v>
      </c>
      <c r="G44" s="10" t="n">
        <v>8000</v>
      </c>
      <c r="H44" s="10" t="n">
        <v>18000</v>
      </c>
      <c r="I44" s="10" t="n">
        <v>34000</v>
      </c>
      <c r="J44" s="10" t="n">
        <v>54000</v>
      </c>
    </row>
    <row r="45" customFormat="false" ht="15" hidden="false" customHeight="true" outlineLevel="0" collapsed="false">
      <c r="B45" s="6" t="s">
        <v>99</v>
      </c>
      <c r="C45" s="6" t="s">
        <v>37</v>
      </c>
      <c r="D45" s="10" t="n">
        <v>100000</v>
      </c>
      <c r="E45" s="10" t="n">
        <v>0</v>
      </c>
      <c r="F45" s="10" t="n">
        <v>20</v>
      </c>
      <c r="G45" s="10" t="n">
        <v>400</v>
      </c>
      <c r="H45" s="10" t="n">
        <v>1000</v>
      </c>
      <c r="I45" s="10" t="n">
        <v>2200</v>
      </c>
      <c r="J45" s="10" t="n">
        <v>4200</v>
      </c>
    </row>
    <row r="46" customFormat="false" ht="15" hidden="false" customHeight="true" outlineLevel="0" collapsed="false">
      <c r="B46" s="6" t="s">
        <v>100</v>
      </c>
      <c r="C46" s="6" t="s">
        <v>37</v>
      </c>
      <c r="D46" s="10" t="n">
        <v>250000</v>
      </c>
      <c r="E46" s="10" t="n">
        <v>3</v>
      </c>
      <c r="F46" s="10" t="n">
        <v>80</v>
      </c>
      <c r="G46" s="10" t="n">
        <v>1400</v>
      </c>
      <c r="H46" s="10" t="n">
        <v>4000</v>
      </c>
      <c r="I46" s="10" t="n">
        <v>9000</v>
      </c>
      <c r="J46" s="10" t="n">
        <v>18000</v>
      </c>
    </row>
    <row r="47" customFormat="false" ht="15" hidden="false" customHeight="true" outlineLevel="0" collapsed="false">
      <c r="B47" s="6" t="s">
        <v>101</v>
      </c>
      <c r="C47" s="6" t="s">
        <v>37</v>
      </c>
      <c r="D47" s="10" t="n">
        <v>6600000</v>
      </c>
      <c r="E47" s="10" t="n">
        <v>0</v>
      </c>
      <c r="F47" s="10" t="n">
        <v>5</v>
      </c>
      <c r="G47" s="10" t="n">
        <v>10</v>
      </c>
      <c r="H47" s="10" t="n">
        <v>25</v>
      </c>
      <c r="I47" s="10" t="n">
        <v>50</v>
      </c>
      <c r="J47" s="10" t="n">
        <v>100</v>
      </c>
    </row>
    <row r="48" customFormat="false" ht="15" hidden="false" customHeight="true" outlineLevel="0" collapsed="false">
      <c r="B48" s="6" t="s">
        <v>102</v>
      </c>
      <c r="C48" s="6" t="s">
        <v>37</v>
      </c>
      <c r="D48" s="10" t="n">
        <v>4530000</v>
      </c>
      <c r="E48" s="10" t="n">
        <v>0</v>
      </c>
      <c r="F48" s="10" t="n">
        <v>2</v>
      </c>
      <c r="G48" s="10" t="n">
        <v>5</v>
      </c>
      <c r="H48" s="10" t="n">
        <v>10</v>
      </c>
      <c r="I48" s="10" t="n">
        <v>15</v>
      </c>
      <c r="J48" s="10" t="n">
        <v>50</v>
      </c>
    </row>
    <row r="49" customFormat="false" ht="15" hidden="false" customHeight="true" outlineLevel="0" collapsed="false">
      <c r="B49" s="6" t="s">
        <v>103</v>
      </c>
      <c r="C49" s="6" t="s">
        <v>38</v>
      </c>
      <c r="D49" s="10" t="n">
        <v>50000</v>
      </c>
      <c r="E49" s="10" t="n">
        <v>40</v>
      </c>
      <c r="F49" s="10" t="n">
        <v>150</v>
      </c>
      <c r="G49" s="10" t="n">
        <v>400</v>
      </c>
      <c r="H49" s="10" t="n">
        <v>900</v>
      </c>
      <c r="I49" s="10" t="n">
        <v>1800</v>
      </c>
      <c r="J49" s="10" t="n">
        <v>3200</v>
      </c>
    </row>
    <row r="50" customFormat="false" ht="15" hidden="false" customHeight="true" outlineLevel="0" collapsed="false">
      <c r="B50" s="6" t="s">
        <v>104</v>
      </c>
      <c r="C50" s="6" t="s">
        <v>38</v>
      </c>
      <c r="D50" s="10" t="n">
        <v>25000</v>
      </c>
      <c r="E50" s="10" t="n">
        <v>30</v>
      </c>
      <c r="F50" s="10" t="n">
        <v>120</v>
      </c>
      <c r="G50" s="10" t="n">
        <v>350</v>
      </c>
      <c r="H50" s="10" t="n">
        <v>800</v>
      </c>
      <c r="I50" s="10" t="n">
        <v>1600</v>
      </c>
      <c r="J50" s="10" t="n">
        <v>3000</v>
      </c>
    </row>
    <row r="51" customFormat="false" ht="15" hidden="false" customHeight="true" outlineLevel="0" collapsed="false">
      <c r="B51" s="6" t="s">
        <v>105</v>
      </c>
      <c r="C51" s="6" t="s">
        <v>38</v>
      </c>
      <c r="D51" s="10" t="n">
        <v>5000</v>
      </c>
      <c r="E51" s="10" t="n">
        <v>200</v>
      </c>
      <c r="F51" s="10" t="n">
        <v>800</v>
      </c>
      <c r="G51" s="10" t="n">
        <v>2200</v>
      </c>
      <c r="H51" s="10" t="n">
        <v>5000</v>
      </c>
      <c r="I51" s="10" t="n">
        <v>11000</v>
      </c>
      <c r="J51" s="10" t="n">
        <v>20000</v>
      </c>
    </row>
    <row r="52" customFormat="false" ht="15" hidden="false" customHeight="true" outlineLevel="0" collapsed="false">
      <c r="B52" s="6" t="s">
        <v>106</v>
      </c>
      <c r="C52" s="6" t="s">
        <v>39</v>
      </c>
      <c r="D52" s="10" t="n">
        <v>18000</v>
      </c>
      <c r="E52" s="10" t="n">
        <v>0</v>
      </c>
      <c r="F52" s="10" t="n">
        <v>30</v>
      </c>
      <c r="G52" s="10" t="n">
        <v>1750</v>
      </c>
      <c r="H52" s="10" t="n">
        <v>6000</v>
      </c>
      <c r="I52" s="10" t="n">
        <v>15000</v>
      </c>
      <c r="J52" s="10" t="n">
        <v>30000</v>
      </c>
    </row>
    <row r="53" customFormat="false" ht="15" hidden="false" customHeight="true" outlineLevel="0" collapsed="false">
      <c r="B53" s="6" t="s">
        <v>107</v>
      </c>
      <c r="C53" s="6" t="s">
        <v>37</v>
      </c>
      <c r="D53" s="10" t="n">
        <v>85000</v>
      </c>
      <c r="E53" s="10" t="n">
        <v>0</v>
      </c>
      <c r="F53" s="10" t="n">
        <v>188</v>
      </c>
      <c r="G53" s="10" t="n">
        <v>375</v>
      </c>
      <c r="H53" s="10" t="n">
        <v>750</v>
      </c>
      <c r="I53" s="10" t="n">
        <v>1500</v>
      </c>
      <c r="J53" s="10" t="n">
        <v>3000</v>
      </c>
    </row>
    <row r="54" customFormat="false" ht="15" hidden="false" customHeight="true" outlineLevel="0" collapsed="false">
      <c r="B54" s="6" t="s">
        <v>108</v>
      </c>
      <c r="C54" s="6" t="s">
        <v>37</v>
      </c>
      <c r="D54" s="10" t="n">
        <v>160000</v>
      </c>
      <c r="E54" s="10" t="n">
        <v>0</v>
      </c>
      <c r="F54" s="10" t="n">
        <v>113</v>
      </c>
      <c r="G54" s="10" t="n">
        <v>225</v>
      </c>
      <c r="H54" s="10" t="n">
        <v>450</v>
      </c>
      <c r="I54" s="10" t="n">
        <v>900</v>
      </c>
      <c r="J54" s="10" t="n">
        <v>1800</v>
      </c>
    </row>
    <row r="55" customFormat="false" ht="15" hidden="false" customHeight="true" outlineLevel="0" collapsed="false">
      <c r="B55" s="6" t="s">
        <v>109</v>
      </c>
      <c r="C55" s="6" t="s">
        <v>37</v>
      </c>
      <c r="D55" s="10" t="n">
        <v>300000</v>
      </c>
      <c r="E55" s="10" t="n">
        <v>0</v>
      </c>
      <c r="F55" s="10" t="n">
        <v>75</v>
      </c>
      <c r="G55" s="10" t="n">
        <v>150</v>
      </c>
      <c r="H55" s="10" t="n">
        <v>300</v>
      </c>
      <c r="I55" s="10" t="n">
        <v>600</v>
      </c>
      <c r="J55" s="10" t="n">
        <v>1200</v>
      </c>
    </row>
    <row r="56" customFormat="false" ht="15" hidden="false" customHeight="true" outlineLevel="0" collapsed="false">
      <c r="B56" s="6" t="s">
        <v>110</v>
      </c>
      <c r="C56" s="6" t="s">
        <v>39</v>
      </c>
      <c r="D56" s="10" t="n">
        <v>10000000</v>
      </c>
      <c r="E56" s="10" t="n">
        <v>0</v>
      </c>
      <c r="F56" s="10" t="n">
        <v>0</v>
      </c>
      <c r="G56" s="10" t="n">
        <v>2</v>
      </c>
      <c r="H56" s="10" t="n">
        <v>6</v>
      </c>
      <c r="I56" s="10" t="n">
        <v>18</v>
      </c>
      <c r="J56" s="10" t="n">
        <v>50</v>
      </c>
    </row>
    <row r="57" customFormat="false" ht="15" hidden="false" customHeight="true" outlineLevel="0" collapsed="false">
      <c r="B57" s="6" t="s">
        <v>111</v>
      </c>
      <c r="C57" s="6" t="s">
        <v>40</v>
      </c>
      <c r="D57" s="10" t="n">
        <v>2000000</v>
      </c>
      <c r="E57" s="10" t="n">
        <v>6</v>
      </c>
      <c r="F57" s="10" t="n">
        <v>15</v>
      </c>
      <c r="G57" s="10" t="n">
        <v>23</v>
      </c>
      <c r="H57" s="10" t="n">
        <v>45</v>
      </c>
      <c r="I57" s="10" t="n">
        <v>88</v>
      </c>
      <c r="J57" s="10" t="n">
        <v>150</v>
      </c>
    </row>
    <row r="58" customFormat="false" ht="15" hidden="false" customHeight="true" outlineLevel="0" collapsed="false">
      <c r="B58" s="6" t="s">
        <v>112</v>
      </c>
      <c r="C58" s="6" t="s">
        <v>40</v>
      </c>
      <c r="D58" s="10" t="n">
        <v>500000</v>
      </c>
      <c r="E58" s="10" t="n">
        <v>0</v>
      </c>
      <c r="F58" s="10" t="n">
        <v>5</v>
      </c>
      <c r="G58" s="10" t="n">
        <v>50</v>
      </c>
      <c r="H58" s="10" t="n">
        <v>125</v>
      </c>
      <c r="I58" s="10" t="n">
        <v>225</v>
      </c>
      <c r="J58" s="10" t="n">
        <v>400</v>
      </c>
    </row>
    <row r="60" customFormat="false" ht="15" hidden="false" customHeight="true" outlineLevel="0" collapsed="false">
      <c r="B60" s="3" t="s">
        <v>113</v>
      </c>
      <c r="D60" s="17" t="s">
        <v>83</v>
      </c>
    </row>
    <row r="61" customFormat="false" ht="15" hidden="false" customHeight="true" outlineLevel="0" collapsed="false">
      <c r="B61" s="6" t="s">
        <v>98</v>
      </c>
      <c r="C61" s="6" t="s">
        <v>37</v>
      </c>
      <c r="D61" s="6" t="s">
        <v>114</v>
      </c>
      <c r="E61" s="11" t="n">
        <f aca="false">E44*$D44/10000000*Assumptions!$C$20</f>
        <v>0.05</v>
      </c>
      <c r="F61" s="11" t="n">
        <f aca="false">F44*$D44/10000000*Assumptions!$C$20</f>
        <v>11</v>
      </c>
      <c r="G61" s="11" t="n">
        <f aca="false">G44*$D44/10000000*Assumptions!$C$20</f>
        <v>40</v>
      </c>
      <c r="H61" s="11" t="n">
        <f aca="false">H44*$D44/10000000*Assumptions!$C$20</f>
        <v>90</v>
      </c>
      <c r="I61" s="11" t="n">
        <f aca="false">I44*$D44/10000000*Assumptions!$C$20</f>
        <v>170</v>
      </c>
      <c r="J61" s="11" t="n">
        <f aca="false">J44*$D44/10000000*Assumptions!$C$20</f>
        <v>270</v>
      </c>
    </row>
    <row r="62" customFormat="false" ht="15" hidden="false" customHeight="true" outlineLevel="0" collapsed="false">
      <c r="B62" s="6" t="s">
        <v>99</v>
      </c>
      <c r="C62" s="6" t="s">
        <v>37</v>
      </c>
      <c r="D62" s="6" t="s">
        <v>115</v>
      </c>
      <c r="E62" s="11" t="n">
        <f aca="false">E45*$D45/10000000*Assumptions!$C$20</f>
        <v>0</v>
      </c>
      <c r="F62" s="11" t="n">
        <f aca="false">F45*$D45/10000000*Assumptions!$C$20</f>
        <v>0.2</v>
      </c>
      <c r="G62" s="11" t="n">
        <f aca="false">G45*$D45/10000000*Assumptions!$C$20</f>
        <v>4</v>
      </c>
      <c r="H62" s="11" t="n">
        <f aca="false">H45*$D45/10000000*Assumptions!$C$20</f>
        <v>10</v>
      </c>
      <c r="I62" s="11" t="n">
        <f aca="false">I45*$D45/10000000*Assumptions!$C$20</f>
        <v>22</v>
      </c>
      <c r="J62" s="11" t="n">
        <f aca="false">J45*$D45/10000000*Assumptions!$C$20</f>
        <v>42</v>
      </c>
    </row>
    <row r="63" customFormat="false" ht="15" hidden="false" customHeight="true" outlineLevel="0" collapsed="false">
      <c r="B63" s="6" t="s">
        <v>100</v>
      </c>
      <c r="C63" s="6" t="s">
        <v>37</v>
      </c>
      <c r="D63" s="6" t="s">
        <v>114</v>
      </c>
      <c r="E63" s="11" t="n">
        <f aca="false">E46*$D46/10000000*Assumptions!$C$20</f>
        <v>0.075</v>
      </c>
      <c r="F63" s="11" t="n">
        <f aca="false">F46*$D46/10000000*Assumptions!$C$20</f>
        <v>2</v>
      </c>
      <c r="G63" s="11" t="n">
        <f aca="false">G46*$D46/10000000*Assumptions!$C$20</f>
        <v>35</v>
      </c>
      <c r="H63" s="11" t="n">
        <f aca="false">H46*$D46/10000000*Assumptions!$C$20</f>
        <v>100</v>
      </c>
      <c r="I63" s="11" t="n">
        <f aca="false">I46*$D46/10000000*Assumptions!$C$20</f>
        <v>225</v>
      </c>
      <c r="J63" s="11" t="n">
        <f aca="false">J46*$D46/10000000*Assumptions!$C$20</f>
        <v>450</v>
      </c>
    </row>
    <row r="64" customFormat="false" ht="15" hidden="false" customHeight="true" outlineLevel="0" collapsed="false">
      <c r="B64" s="6" t="s">
        <v>101</v>
      </c>
      <c r="C64" s="6" t="s">
        <v>37</v>
      </c>
      <c r="D64" s="6" t="s">
        <v>114</v>
      </c>
      <c r="E64" s="11" t="n">
        <f aca="false">E47*$D47/10000000*Assumptions!$C$20</f>
        <v>0</v>
      </c>
      <c r="F64" s="11" t="n">
        <f aca="false">F47*$D47/10000000*Assumptions!$C$20</f>
        <v>3.3</v>
      </c>
      <c r="G64" s="11" t="n">
        <f aca="false">G47*$D47/10000000*Assumptions!$C$20</f>
        <v>6.6</v>
      </c>
      <c r="H64" s="11" t="n">
        <f aca="false">H47*$D47/10000000*Assumptions!$C$20</f>
        <v>16.5</v>
      </c>
      <c r="I64" s="11" t="n">
        <f aca="false">I47*$D47/10000000*Assumptions!$C$20</f>
        <v>33</v>
      </c>
      <c r="J64" s="11" t="n">
        <f aca="false">J47*$D47/10000000*Assumptions!$C$20</f>
        <v>66</v>
      </c>
    </row>
    <row r="65" customFormat="false" ht="15" hidden="false" customHeight="true" outlineLevel="0" collapsed="false">
      <c r="B65" s="6" t="s">
        <v>102</v>
      </c>
      <c r="C65" s="6" t="s">
        <v>37</v>
      </c>
      <c r="D65" s="6" t="s">
        <v>115</v>
      </c>
      <c r="E65" s="11" t="n">
        <f aca="false">E48*$D48/10000000*Assumptions!$C$20</f>
        <v>0</v>
      </c>
      <c r="F65" s="11" t="n">
        <f aca="false">F48*$D48/10000000*Assumptions!$C$20</f>
        <v>0.906</v>
      </c>
      <c r="G65" s="11" t="n">
        <f aca="false">G48*$D48/10000000*Assumptions!$C$20</f>
        <v>2.265</v>
      </c>
      <c r="H65" s="11" t="n">
        <f aca="false">H48*$D48/10000000*Assumptions!$C$20</f>
        <v>4.53</v>
      </c>
      <c r="I65" s="11" t="n">
        <f aca="false">I48*$D48/10000000*Assumptions!$C$20</f>
        <v>6.795</v>
      </c>
      <c r="J65" s="11" t="n">
        <f aca="false">J48*$D48/10000000*Assumptions!$C$20</f>
        <v>22.65</v>
      </c>
    </row>
    <row r="66" customFormat="false" ht="15" hidden="false" customHeight="true" outlineLevel="0" collapsed="false">
      <c r="B66" s="6" t="s">
        <v>103</v>
      </c>
      <c r="C66" s="6" t="s">
        <v>38</v>
      </c>
      <c r="D66" s="6" t="s">
        <v>114</v>
      </c>
      <c r="E66" s="11" t="n">
        <f aca="false">E49*$D49/10000000*Assumptions!$C$20</f>
        <v>0.2</v>
      </c>
      <c r="F66" s="11" t="n">
        <f aca="false">F49*$D49/10000000*Assumptions!$C$20</f>
        <v>0.75</v>
      </c>
      <c r="G66" s="11" t="n">
        <f aca="false">G49*$D49/10000000*Assumptions!$C$20</f>
        <v>2</v>
      </c>
      <c r="H66" s="11" t="n">
        <f aca="false">H49*$D49/10000000*Assumptions!$C$20</f>
        <v>4.5</v>
      </c>
      <c r="I66" s="11" t="n">
        <f aca="false">I49*$D49/10000000*Assumptions!$C$20</f>
        <v>9</v>
      </c>
      <c r="J66" s="11" t="n">
        <f aca="false">J49*$D49/10000000*Assumptions!$C$20</f>
        <v>16</v>
      </c>
    </row>
    <row r="67" customFormat="false" ht="15" hidden="false" customHeight="true" outlineLevel="0" collapsed="false">
      <c r="B67" s="6" t="s">
        <v>104</v>
      </c>
      <c r="C67" s="6" t="s">
        <v>38</v>
      </c>
      <c r="D67" s="6" t="s">
        <v>114</v>
      </c>
      <c r="E67" s="11" t="n">
        <f aca="false">E50*$D50/10000000*Assumptions!$C$20</f>
        <v>0.075</v>
      </c>
      <c r="F67" s="11" t="n">
        <f aca="false">F50*$D50/10000000*Assumptions!$C$20</f>
        <v>0.3</v>
      </c>
      <c r="G67" s="11" t="n">
        <f aca="false">G50*$D50/10000000*Assumptions!$C$20</f>
        <v>0.875</v>
      </c>
      <c r="H67" s="11" t="n">
        <f aca="false">H50*$D50/10000000*Assumptions!$C$20</f>
        <v>2</v>
      </c>
      <c r="I67" s="11" t="n">
        <f aca="false">I50*$D50/10000000*Assumptions!$C$20</f>
        <v>4</v>
      </c>
      <c r="J67" s="11" t="n">
        <f aca="false">J50*$D50/10000000*Assumptions!$C$20</f>
        <v>7.5</v>
      </c>
    </row>
    <row r="68" customFormat="false" ht="15" hidden="false" customHeight="true" outlineLevel="0" collapsed="false">
      <c r="B68" s="6" t="s">
        <v>105</v>
      </c>
      <c r="C68" s="6" t="s">
        <v>38</v>
      </c>
      <c r="D68" s="6" t="s">
        <v>114</v>
      </c>
      <c r="E68" s="11" t="n">
        <f aca="false">E51*$D51/10000000*Assumptions!$C$20</f>
        <v>0.1</v>
      </c>
      <c r="F68" s="11" t="n">
        <f aca="false">F51*$D51/10000000*Assumptions!$C$20</f>
        <v>0.4</v>
      </c>
      <c r="G68" s="11" t="n">
        <f aca="false">G51*$D51/10000000*Assumptions!$C$20</f>
        <v>1.1</v>
      </c>
      <c r="H68" s="11" t="n">
        <f aca="false">H51*$D51/10000000*Assumptions!$C$20</f>
        <v>2.5</v>
      </c>
      <c r="I68" s="11" t="n">
        <f aca="false">I51*$D51/10000000*Assumptions!$C$20</f>
        <v>5.5</v>
      </c>
      <c r="J68" s="11" t="n">
        <f aca="false">J51*$D51/10000000*Assumptions!$C$20</f>
        <v>10</v>
      </c>
    </row>
    <row r="69" customFormat="false" ht="15" hidden="false" customHeight="true" outlineLevel="0" collapsed="false">
      <c r="B69" s="6" t="s">
        <v>106</v>
      </c>
      <c r="C69" s="6" t="s">
        <v>39</v>
      </c>
      <c r="D69" s="6" t="s">
        <v>114</v>
      </c>
      <c r="E69" s="11" t="n">
        <f aca="false">E52*$D52/10000000*Assumptions!$C$20</f>
        <v>0</v>
      </c>
      <c r="F69" s="11" t="n">
        <f aca="false">F52*$D52/10000000*Assumptions!$C$20</f>
        <v>0.054</v>
      </c>
      <c r="G69" s="11" t="n">
        <f aca="false">G52*$D52/10000000*Assumptions!$C$20</f>
        <v>3.15</v>
      </c>
      <c r="H69" s="11" t="n">
        <f aca="false">H52*$D52/10000000*Assumptions!$C$20</f>
        <v>10.8</v>
      </c>
      <c r="I69" s="11" t="n">
        <f aca="false">I52*$D52/10000000*Assumptions!$C$20</f>
        <v>27</v>
      </c>
      <c r="J69" s="11" t="n">
        <f aca="false">J52*$D52/10000000*Assumptions!$C$20</f>
        <v>54</v>
      </c>
    </row>
    <row r="70" customFormat="false" ht="15" hidden="false" customHeight="true" outlineLevel="0" collapsed="false">
      <c r="B70" s="6" t="s">
        <v>107</v>
      </c>
      <c r="C70" s="6" t="s">
        <v>37</v>
      </c>
      <c r="D70" s="6" t="s">
        <v>116</v>
      </c>
      <c r="E70" s="11" t="n">
        <f aca="false">E53*$D53/10000000*Assumptions!$C$20</f>
        <v>0</v>
      </c>
      <c r="F70" s="11" t="n">
        <f aca="false">F53*$D53/10000000*Assumptions!$C$20</f>
        <v>1.598</v>
      </c>
      <c r="G70" s="11" t="n">
        <f aca="false">G53*$D53/10000000*Assumptions!$C$20</f>
        <v>3.1875</v>
      </c>
      <c r="H70" s="11" t="n">
        <f aca="false">H53*$D53/10000000*Assumptions!$C$20</f>
        <v>6.375</v>
      </c>
      <c r="I70" s="11" t="n">
        <f aca="false">I53*$D53/10000000*Assumptions!$C$20</f>
        <v>12.75</v>
      </c>
      <c r="J70" s="11" t="n">
        <f aca="false">J53*$D53/10000000*Assumptions!$C$20</f>
        <v>25.5</v>
      </c>
    </row>
    <row r="71" customFormat="false" ht="15" hidden="false" customHeight="true" outlineLevel="0" collapsed="false">
      <c r="B71" s="6" t="s">
        <v>108</v>
      </c>
      <c r="C71" s="6" t="s">
        <v>37</v>
      </c>
      <c r="D71" s="6" t="s">
        <v>116</v>
      </c>
      <c r="E71" s="11" t="n">
        <f aca="false">E54*$D54/10000000*Assumptions!$C$20</f>
        <v>0</v>
      </c>
      <c r="F71" s="11" t="n">
        <f aca="false">F54*$D54/10000000*Assumptions!$C$20</f>
        <v>1.808</v>
      </c>
      <c r="G71" s="11" t="n">
        <f aca="false">G54*$D54/10000000*Assumptions!$C$20</f>
        <v>3.6</v>
      </c>
      <c r="H71" s="11" t="n">
        <f aca="false">H54*$D54/10000000*Assumptions!$C$20</f>
        <v>7.2</v>
      </c>
      <c r="I71" s="11" t="n">
        <f aca="false">I54*$D54/10000000*Assumptions!$C$20</f>
        <v>14.4</v>
      </c>
      <c r="J71" s="11" t="n">
        <f aca="false">J54*$D54/10000000*Assumptions!$C$20</f>
        <v>28.8</v>
      </c>
    </row>
    <row r="72" customFormat="false" ht="15" hidden="false" customHeight="true" outlineLevel="0" collapsed="false">
      <c r="B72" s="6" t="s">
        <v>109</v>
      </c>
      <c r="C72" s="6" t="s">
        <v>37</v>
      </c>
      <c r="D72" s="6" t="s">
        <v>116</v>
      </c>
      <c r="E72" s="11" t="n">
        <f aca="false">E55*$D55/10000000*Assumptions!$C$20</f>
        <v>0</v>
      </c>
      <c r="F72" s="11" t="n">
        <f aca="false">F55*$D55/10000000*Assumptions!$C$20</f>
        <v>2.25</v>
      </c>
      <c r="G72" s="11" t="n">
        <f aca="false">G55*$D55/10000000*Assumptions!$C$20</f>
        <v>4.5</v>
      </c>
      <c r="H72" s="11" t="n">
        <f aca="false">H55*$D55/10000000*Assumptions!$C$20</f>
        <v>9</v>
      </c>
      <c r="I72" s="11" t="n">
        <f aca="false">I55*$D55/10000000*Assumptions!$C$20</f>
        <v>18</v>
      </c>
      <c r="J72" s="11" t="n">
        <f aca="false">J55*$D55/10000000*Assumptions!$C$20</f>
        <v>36</v>
      </c>
    </row>
    <row r="73" customFormat="false" ht="15" hidden="false" customHeight="true" outlineLevel="0" collapsed="false">
      <c r="B73" s="6" t="s">
        <v>110</v>
      </c>
      <c r="C73" s="6" t="s">
        <v>39</v>
      </c>
      <c r="D73" s="6" t="s">
        <v>114</v>
      </c>
      <c r="E73" s="11" t="n">
        <f aca="false">E56*$D56/10000000*Assumptions!$C$20</f>
        <v>0</v>
      </c>
      <c r="F73" s="11" t="n">
        <f aca="false">F56*$D56/10000000*Assumptions!$C$20</f>
        <v>0</v>
      </c>
      <c r="G73" s="11" t="n">
        <f aca="false">G56*$D56/10000000*Assumptions!$C$20</f>
        <v>2</v>
      </c>
      <c r="H73" s="11" t="n">
        <f aca="false">H56*$D56/10000000*Assumptions!$C$20</f>
        <v>6</v>
      </c>
      <c r="I73" s="11" t="n">
        <f aca="false">I56*$D56/10000000*Assumptions!$C$20</f>
        <v>18</v>
      </c>
      <c r="J73" s="11" t="n">
        <f aca="false">J56*$D56/10000000*Assumptions!$C$20</f>
        <v>50</v>
      </c>
    </row>
    <row r="74" customFormat="false" ht="15" hidden="false" customHeight="true" outlineLevel="0" collapsed="false">
      <c r="B74" s="6" t="s">
        <v>111</v>
      </c>
      <c r="C74" s="6" t="s">
        <v>40</v>
      </c>
      <c r="D74" s="6" t="s">
        <v>114</v>
      </c>
      <c r="E74" s="11" t="n">
        <f aca="false">E57*$D57/10000000*Assumptions!$C$20</f>
        <v>1.2</v>
      </c>
      <c r="F74" s="11" t="n">
        <f aca="false">F57*$D57/10000000*Assumptions!$C$20</f>
        <v>3</v>
      </c>
      <c r="G74" s="11" t="n">
        <f aca="false">G57*$D57/10000000*Assumptions!$C$20</f>
        <v>4.6</v>
      </c>
      <c r="H74" s="11" t="n">
        <f aca="false">H57*$D57/10000000*Assumptions!$C$20</f>
        <v>9</v>
      </c>
      <c r="I74" s="11" t="n">
        <f aca="false">I57*$D57/10000000*Assumptions!$C$20</f>
        <v>17.6</v>
      </c>
      <c r="J74" s="11" t="n">
        <f aca="false">J57*$D57/10000000*Assumptions!$C$20</f>
        <v>30</v>
      </c>
    </row>
    <row r="75" customFormat="false" ht="15" hidden="false" customHeight="true" outlineLevel="0" collapsed="false">
      <c r="B75" s="6" t="s">
        <v>112</v>
      </c>
      <c r="C75" s="6" t="s">
        <v>40</v>
      </c>
      <c r="D75" s="6" t="s">
        <v>114</v>
      </c>
      <c r="E75" s="11" t="n">
        <f aca="false">E58*$D58/10000000*Assumptions!$C$20</f>
        <v>0</v>
      </c>
      <c r="F75" s="11" t="n">
        <f aca="false">F58*$D58/10000000*Assumptions!$C$20</f>
        <v>0.25</v>
      </c>
      <c r="G75" s="11" t="n">
        <f aca="false">G58*$D58/10000000*Assumptions!$C$20</f>
        <v>2.5</v>
      </c>
      <c r="H75" s="11" t="n">
        <f aca="false">H58*$D58/10000000*Assumptions!$C$20</f>
        <v>6.25</v>
      </c>
      <c r="I75" s="11" t="n">
        <f aca="false">I58*$D58/10000000*Assumptions!$C$20</f>
        <v>11.25</v>
      </c>
      <c r="J75" s="11" t="n">
        <f aca="false">J58*$D58/10000000*Assumptions!$C$20</f>
        <v>20</v>
      </c>
    </row>
    <row r="76" customFormat="false" ht="15" hidden="false" customHeight="true" outlineLevel="0" collapsed="false">
      <c r="B76" s="17" t="s">
        <v>117</v>
      </c>
      <c r="E76" s="20" t="n">
        <f aca="false">SUM(E61:E75)</f>
        <v>1.7</v>
      </c>
      <c r="F76" s="20" t="n">
        <f aca="false">SUM(F61:F75)</f>
        <v>27.816</v>
      </c>
      <c r="G76" s="20" t="n">
        <f aca="false">SUM(G61:G75)</f>
        <v>115.3775</v>
      </c>
      <c r="H76" s="20" t="n">
        <f aca="false">SUM(H61:H75)</f>
        <v>284.655</v>
      </c>
      <c r="I76" s="20" t="n">
        <f aca="false">SUM(I61:I75)</f>
        <v>594.295</v>
      </c>
      <c r="J76" s="20" t="n">
        <f aca="false">SUM(J61:J75)</f>
        <v>1128.45</v>
      </c>
    </row>
    <row r="77" customFormat="false" ht="15" hidden="false" customHeight="true" outlineLevel="0" collapsed="false">
      <c r="B77" s="6" t="s">
        <v>118</v>
      </c>
      <c r="F77" s="12" t="n">
        <f aca="false">F76/E76-1</f>
        <v>15.3623529411765</v>
      </c>
      <c r="G77" s="12" t="n">
        <f aca="false">G76/F76-1</f>
        <v>3.1478825136612</v>
      </c>
      <c r="H77" s="12" t="n">
        <f aca="false">H76/G76-1</f>
        <v>1.4671621416654</v>
      </c>
      <c r="I77" s="12" t="n">
        <f aca="false">I76/H76-1</f>
        <v>1.08777291809383</v>
      </c>
      <c r="J77" s="12" t="n">
        <f aca="false">J76/I76-1</f>
        <v>0.898804465795607</v>
      </c>
    </row>
    <row r="78" customFormat="false" ht="15" hidden="false" customHeight="true" outlineLevel="0" collapsed="false">
      <c r="B78" s="3" t="s">
        <v>119</v>
      </c>
    </row>
  </sheetData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2:J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2"/>
    <col collapsed="false" customWidth="true" hidden="false" outlineLevel="0" max="8" min="3" style="1" width="11"/>
    <col collapsed="false" customWidth="true" hidden="false" outlineLevel="0" max="9" min="9" style="1" width="2"/>
    <col collapsed="false" customWidth="true" hidden="false" outlineLevel="0" max="10" min="10" style="1" width="30"/>
  </cols>
  <sheetData>
    <row r="2" customFormat="false" ht="17.25" hidden="false" customHeight="true" outlineLevel="0" collapsed="false">
      <c r="B2" s="2" t="s">
        <v>120</v>
      </c>
    </row>
    <row r="3" customFormat="false" ht="15" hidden="false" customHeight="true" outlineLevel="0" collapsed="false">
      <c r="B3" s="3" t="s">
        <v>121</v>
      </c>
    </row>
    <row r="5" customFormat="false" ht="15" hidden="false" customHeight="true" outlineLevel="0" collapsed="false">
      <c r="B5" s="17" t="s">
        <v>122</v>
      </c>
      <c r="C5" s="18" t="s">
        <v>30</v>
      </c>
      <c r="D5" s="18" t="s">
        <v>31</v>
      </c>
      <c r="E5" s="18" t="s">
        <v>32</v>
      </c>
      <c r="F5" s="18" t="s">
        <v>33</v>
      </c>
      <c r="G5" s="18" t="s">
        <v>34</v>
      </c>
      <c r="H5" s="18" t="s">
        <v>35</v>
      </c>
    </row>
    <row r="6" customFormat="false" ht="15" hidden="false" customHeight="true" outlineLevel="0" collapsed="false">
      <c r="B6" s="22" t="s">
        <v>123</v>
      </c>
      <c r="C6" s="23" t="n">
        <f aca="false">'Revenue Build'!E76</f>
        <v>1.7</v>
      </c>
      <c r="D6" s="23" t="n">
        <f aca="false">'Revenue Build'!F76</f>
        <v>27.816</v>
      </c>
      <c r="E6" s="23" t="n">
        <f aca="false">'Revenue Build'!G76</f>
        <v>115.3775</v>
      </c>
      <c r="F6" s="23" t="n">
        <f aca="false">'Revenue Build'!H76</f>
        <v>284.655</v>
      </c>
      <c r="G6" s="23" t="n">
        <f aca="false">'Revenue Build'!I76</f>
        <v>594.295</v>
      </c>
      <c r="H6" s="23" t="n">
        <f aca="false">'Revenue Build'!J76</f>
        <v>1128.45</v>
      </c>
    </row>
    <row r="7" customFormat="false" ht="15" hidden="false" customHeight="true" outlineLevel="0" collapsed="false">
      <c r="B7" s="6" t="s">
        <v>124</v>
      </c>
      <c r="C7" s="11" t="n">
        <f aca="false">'Revenue Build'!E16*Assumptions!C25+'Revenue Build'!E17*Assumptions!C26+'Revenue Build'!E18*Assumptions!C27+'Revenue Build'!E19*Assumptions!C28</f>
        <v>0.67525</v>
      </c>
      <c r="D7" s="11" t="n">
        <f aca="false">'Revenue Build'!F16*Assumptions!D25+'Revenue Build'!F17*Assumptions!D26+'Revenue Build'!F18*Assumptions!D27+'Revenue Build'!F19*Assumptions!D28</f>
        <v>19.21588</v>
      </c>
      <c r="E7" s="11" t="n">
        <f aca="false">'Revenue Build'!G16*Assumptions!E25+'Revenue Build'!G17*Assumptions!E26+'Revenue Build'!G18*Assumptions!E27+'Revenue Build'!G19*Assumptions!E28</f>
        <v>89.6805</v>
      </c>
      <c r="F7" s="11" t="n">
        <f aca="false">'Revenue Build'!H16*Assumptions!F25+'Revenue Build'!H17*Assumptions!F26+'Revenue Build'!H18*Assumptions!F27+'Revenue Build'!H19*Assumptions!F28</f>
        <v>231.12215</v>
      </c>
      <c r="G7" s="11" t="n">
        <f aca="false">'Revenue Build'!I16*Assumptions!G25+'Revenue Build'!I17*Assumptions!G26+'Revenue Build'!I18*Assumptions!G27+'Revenue Build'!I19*Assumptions!G28</f>
        <v>500.9937</v>
      </c>
      <c r="H7" s="11" t="n">
        <f aca="false">'Revenue Build'!J16*Assumptions!H25+'Revenue Build'!J17*Assumptions!H26+'Revenue Build'!J18*Assumptions!H27+'Revenue Build'!J19*Assumptions!H28</f>
        <v>985.9555</v>
      </c>
      <c r="J7" s="3" t="s">
        <v>125</v>
      </c>
    </row>
    <row r="8" customFormat="false" ht="15" hidden="false" customHeight="true" outlineLevel="0" collapsed="false">
      <c r="B8" s="6" t="s">
        <v>126</v>
      </c>
      <c r="C8" s="11" t="n">
        <f aca="false">C6-C7</f>
        <v>1.02475</v>
      </c>
      <c r="D8" s="11" t="n">
        <f aca="false">D6-D7</f>
        <v>8.60012</v>
      </c>
      <c r="E8" s="11" t="n">
        <f aca="false">E6-E7</f>
        <v>25.697</v>
      </c>
      <c r="F8" s="11" t="n">
        <f aca="false">F6-F7</f>
        <v>53.53285</v>
      </c>
      <c r="G8" s="11" t="n">
        <f aca="false">G6-G7</f>
        <v>93.3013</v>
      </c>
      <c r="H8" s="11" t="n">
        <f aca="false">H6-H7</f>
        <v>142.4945</v>
      </c>
    </row>
    <row r="9" customFormat="false" ht="15" hidden="false" customHeight="true" outlineLevel="0" collapsed="false">
      <c r="B9" s="6" t="s">
        <v>127</v>
      </c>
      <c r="C9" s="11" t="n">
        <f aca="false">C6*Assumptions!C32</f>
        <v>0.646</v>
      </c>
      <c r="D9" s="11" t="n">
        <f aca="false">D6*Assumptions!D32</f>
        <v>10.29192</v>
      </c>
      <c r="E9" s="11" t="n">
        <f aca="false">E6*Assumptions!E32</f>
        <v>41.5359</v>
      </c>
      <c r="F9" s="11" t="n">
        <f aca="false">F6*Assumptions!F32</f>
        <v>99.62925</v>
      </c>
      <c r="G9" s="11" t="n">
        <f aca="false">G6*Assumptions!G32</f>
        <v>202.0603</v>
      </c>
      <c r="H9" s="11" t="n">
        <f aca="false">H6*Assumptions!H32</f>
        <v>372.3885</v>
      </c>
    </row>
    <row r="10" customFormat="false" ht="15" hidden="false" customHeight="true" outlineLevel="0" collapsed="false">
      <c r="B10" s="6" t="s">
        <v>128</v>
      </c>
      <c r="C10" s="11" t="n">
        <f aca="false">C6*Assumptions!C33</f>
        <v>0.51</v>
      </c>
      <c r="D10" s="11" t="n">
        <f aca="false">D6*Assumptions!D33</f>
        <v>7.23216</v>
      </c>
      <c r="E10" s="11" t="n">
        <f aca="false">E6*Assumptions!E33</f>
        <v>25.38305</v>
      </c>
      <c r="F10" s="11" t="n">
        <f aca="false">F6*Assumptions!F33</f>
        <v>54.08445</v>
      </c>
      <c r="G10" s="11" t="n">
        <f aca="false">G6*Assumptions!G33</f>
        <v>106.9731</v>
      </c>
      <c r="H10" s="11" t="n">
        <f aca="false">H6*Assumptions!H33</f>
        <v>203.121</v>
      </c>
      <c r="J10" s="3" t="s">
        <v>129</v>
      </c>
    </row>
    <row r="11" customFormat="false" ht="15" hidden="false" customHeight="true" outlineLevel="0" collapsed="false">
      <c r="B11" s="6" t="s">
        <v>130</v>
      </c>
      <c r="C11" s="11" t="n">
        <f aca="false">C9-C10</f>
        <v>0.136</v>
      </c>
      <c r="D11" s="11" t="n">
        <f aca="false">D9-D10</f>
        <v>3.05976</v>
      </c>
      <c r="E11" s="11" t="n">
        <f aca="false">E9-E10</f>
        <v>16.15285</v>
      </c>
      <c r="F11" s="11" t="n">
        <f aca="false">F9-F10</f>
        <v>45.5448</v>
      </c>
      <c r="G11" s="11" t="n">
        <f aca="false">G9-G10</f>
        <v>95.0872</v>
      </c>
      <c r="H11" s="11" t="n">
        <f aca="false">H9-H10</f>
        <v>169.2675</v>
      </c>
      <c r="J11" s="3" t="s">
        <v>131</v>
      </c>
    </row>
    <row r="12" customFormat="false" ht="15" hidden="false" customHeight="true" outlineLevel="0" collapsed="false">
      <c r="B12" s="6" t="s">
        <v>132</v>
      </c>
      <c r="C12" s="11" t="n">
        <f aca="false">C6*Assumptions!C34</f>
        <v>0.255</v>
      </c>
      <c r="D12" s="11" t="n">
        <f aca="false">D6*Assumptions!D34</f>
        <v>4.03332</v>
      </c>
      <c r="E12" s="11" t="n">
        <f aca="false">E6*Assumptions!E34</f>
        <v>16.15285</v>
      </c>
      <c r="F12" s="11" t="n">
        <f aca="false">F6*Assumptions!F34</f>
        <v>38.428425</v>
      </c>
      <c r="G12" s="11" t="n">
        <f aca="false">G6*Assumptions!G34</f>
        <v>77.25835</v>
      </c>
      <c r="H12" s="11" t="n">
        <f aca="false">H6*Assumptions!H34</f>
        <v>141.05625</v>
      </c>
    </row>
    <row r="13" customFormat="false" ht="15" hidden="false" customHeight="true" outlineLevel="0" collapsed="false">
      <c r="B13" s="6" t="s">
        <v>133</v>
      </c>
      <c r="C13" s="11" t="n">
        <f aca="false">C6*Assumptions!C35</f>
        <v>0.17</v>
      </c>
      <c r="D13" s="11" t="n">
        <f aca="false">D6*Assumptions!D35</f>
        <v>2.64252</v>
      </c>
      <c r="E13" s="11" t="n">
        <f aca="false">E6*Assumptions!E35</f>
        <v>10.383975</v>
      </c>
      <c r="F13" s="11" t="n">
        <f aca="false">F6*Assumptions!F35</f>
        <v>24.195675</v>
      </c>
      <c r="G13" s="11" t="n">
        <f aca="false">G6*Assumptions!G35</f>
        <v>47.5436</v>
      </c>
      <c r="H13" s="11" t="n">
        <f aca="false">H6*Assumptions!H35</f>
        <v>84.63375</v>
      </c>
    </row>
    <row r="14" customFormat="false" ht="15" hidden="false" customHeight="true" outlineLevel="0" collapsed="false">
      <c r="B14" s="17" t="s">
        <v>134</v>
      </c>
      <c r="C14" s="24" t="n">
        <f aca="false">(C9+C12+C13)+C6*Assumptions!$C$21</f>
        <v>1.071</v>
      </c>
      <c r="D14" s="24" t="n">
        <f aca="false">(D9+D12+D13)+D6*Assumptions!$C$21</f>
        <v>16.96776</v>
      </c>
      <c r="E14" s="24" t="n">
        <f aca="false">(E9+E12+E13)+E6*Assumptions!$C$21</f>
        <v>68.072725</v>
      </c>
      <c r="F14" s="24" t="n">
        <f aca="false">(F9+F12+F13)+F6*Assumptions!$C$21</f>
        <v>162.25335</v>
      </c>
      <c r="G14" s="24" t="n">
        <f aca="false">(G9+G12+G13)+G6*Assumptions!$C$21</f>
        <v>326.86225</v>
      </c>
      <c r="H14" s="24" t="n">
        <f aca="false">(H9+H12+H13)+H6*Assumptions!$C$21</f>
        <v>598.0785</v>
      </c>
      <c r="J14" s="3" t="s">
        <v>135</v>
      </c>
    </row>
    <row r="15" customFormat="false" ht="15" hidden="false" customHeight="true" outlineLevel="0" collapsed="false">
      <c r="B15" s="17" t="s">
        <v>136</v>
      </c>
      <c r="C15" s="24" t="n">
        <f aca="false">C7-C14</f>
        <v>-0.39575</v>
      </c>
      <c r="D15" s="24" t="n">
        <f aca="false">D7-D14</f>
        <v>2.24812</v>
      </c>
      <c r="E15" s="24" t="n">
        <f aca="false">E7-E14</f>
        <v>21.607775</v>
      </c>
      <c r="F15" s="24" t="n">
        <f aca="false">F7-F14</f>
        <v>68.8688</v>
      </c>
      <c r="G15" s="24" t="n">
        <f aca="false">G7-G14</f>
        <v>174.13145</v>
      </c>
      <c r="H15" s="24" t="n">
        <f aca="false">H7-H14</f>
        <v>387.877</v>
      </c>
      <c r="J15" s="3" t="s">
        <v>137</v>
      </c>
    </row>
    <row r="16" customFormat="false" ht="15" hidden="false" customHeight="true" outlineLevel="0" collapsed="false">
      <c r="B16" s="6" t="s">
        <v>138</v>
      </c>
      <c r="C16" s="11" t="n">
        <f aca="false">C6*Assumptions!C36</f>
        <v>0.034</v>
      </c>
      <c r="D16" s="11" t="n">
        <f aca="false">D6*Assumptions!D36</f>
        <v>0.55632</v>
      </c>
      <c r="E16" s="11" t="n">
        <f aca="false">E6*Assumptions!E36</f>
        <v>2.30755</v>
      </c>
      <c r="F16" s="11" t="n">
        <f aca="false">F6*Assumptions!F36</f>
        <v>5.6931</v>
      </c>
      <c r="G16" s="11" t="n">
        <f aca="false">G6*Assumptions!G36</f>
        <v>11.8859</v>
      </c>
      <c r="H16" s="11" t="n">
        <f aca="false">H6*Assumptions!H36</f>
        <v>22.569</v>
      </c>
    </row>
    <row r="17" customFormat="false" ht="15" hidden="false" customHeight="true" outlineLevel="0" collapsed="false">
      <c r="B17" s="17" t="s">
        <v>139</v>
      </c>
      <c r="C17" s="24" t="n">
        <f aca="false">C15-C16</f>
        <v>-0.42975</v>
      </c>
      <c r="D17" s="24" t="n">
        <f aca="false">D15-D16</f>
        <v>1.6918</v>
      </c>
      <c r="E17" s="24" t="n">
        <f aca="false">E15-E16</f>
        <v>19.300225</v>
      </c>
      <c r="F17" s="24" t="n">
        <f aca="false">F15-F16</f>
        <v>63.1757</v>
      </c>
      <c r="G17" s="24" t="n">
        <f aca="false">G15-G16</f>
        <v>162.24555</v>
      </c>
      <c r="H17" s="24" t="n">
        <f aca="false">H15-H16</f>
        <v>365.308</v>
      </c>
    </row>
    <row r="18" customFormat="false" ht="15" hidden="false" customHeight="true" outlineLevel="0" collapsed="false">
      <c r="B18" s="6" t="s">
        <v>140</v>
      </c>
      <c r="C18" s="11" t="n">
        <f aca="false">0</f>
        <v>0</v>
      </c>
      <c r="D18" s="11" t="n">
        <f aca="false">C21</f>
        <v>0.42975</v>
      </c>
      <c r="E18" s="11" t="n">
        <f aca="false">D21</f>
        <v>0</v>
      </c>
      <c r="F18" s="11" t="n">
        <f aca="false">E21</f>
        <v>0</v>
      </c>
      <c r="G18" s="11" t="n">
        <f aca="false">F21</f>
        <v>0</v>
      </c>
      <c r="H18" s="11" t="n">
        <f aca="false">G21</f>
        <v>0</v>
      </c>
    </row>
    <row r="19" customFormat="false" ht="15" hidden="false" customHeight="true" outlineLevel="0" collapsed="false">
      <c r="B19" s="6" t="s">
        <v>141</v>
      </c>
      <c r="C19" s="11" t="n">
        <f aca="false">MAX(C17-C18,0)</f>
        <v>0</v>
      </c>
      <c r="D19" s="11" t="n">
        <f aca="false">MAX(D17-D18,0)</f>
        <v>1.26205</v>
      </c>
      <c r="E19" s="11" t="n">
        <f aca="false">MAX(E17-E18,0)</f>
        <v>19.300225</v>
      </c>
      <c r="F19" s="11" t="n">
        <f aca="false">MAX(F17-F18,0)</f>
        <v>63.1757</v>
      </c>
      <c r="G19" s="11" t="n">
        <f aca="false">MAX(G17-G18,0)</f>
        <v>162.24555</v>
      </c>
      <c r="H19" s="11" t="n">
        <f aca="false">MAX(H17-H18,0)</f>
        <v>365.308</v>
      </c>
    </row>
    <row r="20" customFormat="false" ht="15" hidden="false" customHeight="true" outlineLevel="0" collapsed="false">
      <c r="B20" s="6" t="s">
        <v>142</v>
      </c>
      <c r="C20" s="11" t="n">
        <f aca="false">C19*Assumptions!$C$7</f>
        <v>0</v>
      </c>
      <c r="D20" s="11" t="n">
        <f aca="false">D19*Assumptions!$C$7</f>
        <v>0.315512500000001</v>
      </c>
      <c r="E20" s="11" t="n">
        <f aca="false">E19*Assumptions!$C$7</f>
        <v>4.82505625000001</v>
      </c>
      <c r="F20" s="11" t="n">
        <f aca="false">F19*Assumptions!$C$7</f>
        <v>15.793925</v>
      </c>
      <c r="G20" s="11" t="n">
        <f aca="false">G19*Assumptions!$C$7</f>
        <v>40.5613875</v>
      </c>
      <c r="H20" s="11" t="n">
        <f aca="false">H19*Assumptions!$C$7</f>
        <v>91.327</v>
      </c>
    </row>
    <row r="21" customFormat="false" ht="15" hidden="false" customHeight="true" outlineLevel="0" collapsed="false">
      <c r="B21" s="6" t="s">
        <v>143</v>
      </c>
      <c r="C21" s="11" t="n">
        <f aca="false">MAX(C18-MAX(C17,0),0)+MAX(-C17,0)</f>
        <v>0.42975</v>
      </c>
      <c r="D21" s="11" t="n">
        <f aca="false">MAX(D18-MAX(D17,0),0)+MAX(-D17,0)</f>
        <v>0</v>
      </c>
      <c r="E21" s="11" t="n">
        <f aca="false">MAX(E18-MAX(E17,0),0)+MAX(-E17,0)</f>
        <v>0</v>
      </c>
      <c r="F21" s="11" t="n">
        <f aca="false">MAX(F18-MAX(F17,0),0)+MAX(-F17,0)</f>
        <v>0</v>
      </c>
      <c r="G21" s="11" t="n">
        <f aca="false">MAX(G18-MAX(G17,0),0)+MAX(-G17,0)</f>
        <v>0</v>
      </c>
      <c r="H21" s="11" t="n">
        <f aca="false">MAX(H18-MAX(H17,0),0)+MAX(-H17,0)</f>
        <v>0</v>
      </c>
    </row>
    <row r="22" customFormat="false" ht="15" hidden="false" customHeight="true" outlineLevel="0" collapsed="false">
      <c r="B22" s="17" t="s">
        <v>144</v>
      </c>
      <c r="C22" s="20" t="n">
        <f aca="false">C17-C20</f>
        <v>-0.42975</v>
      </c>
      <c r="D22" s="20" t="n">
        <f aca="false">D17-D20</f>
        <v>1.3762875</v>
      </c>
      <c r="E22" s="20" t="n">
        <f aca="false">E17-E20</f>
        <v>14.47516875</v>
      </c>
      <c r="F22" s="20" t="n">
        <f aca="false">F17-F20</f>
        <v>47.381775</v>
      </c>
      <c r="G22" s="20" t="n">
        <f aca="false">G17-G20</f>
        <v>121.6841625</v>
      </c>
      <c r="H22" s="20" t="n">
        <f aca="false">H17-H20</f>
        <v>273.981</v>
      </c>
    </row>
    <row r="24" customFormat="false" ht="15" hidden="false" customHeight="true" outlineLevel="0" collapsed="false">
      <c r="B24" s="6" t="s">
        <v>145</v>
      </c>
      <c r="C24" s="12" t="n">
        <f aca="false">C7/C6</f>
        <v>0.397205882352941</v>
      </c>
      <c r="D24" s="12" t="n">
        <f aca="false">D7/D6</f>
        <v>0.69082111015243</v>
      </c>
      <c r="E24" s="12" t="n">
        <f aca="false">E7/E6</f>
        <v>0.777278932200819</v>
      </c>
      <c r="F24" s="12" t="n">
        <f aca="false">F7/F6</f>
        <v>0.811937784335424</v>
      </c>
      <c r="G24" s="12" t="n">
        <f aca="false">G7/G6</f>
        <v>0.843005073238038</v>
      </c>
      <c r="H24" s="12" t="n">
        <f aca="false">H7/H6</f>
        <v>0.873725464132217</v>
      </c>
    </row>
    <row r="25" customFormat="false" ht="15" hidden="false" customHeight="true" outlineLevel="0" collapsed="false">
      <c r="B25" s="6" t="s">
        <v>146</v>
      </c>
      <c r="C25" s="12" t="n">
        <f aca="false">C15/C6</f>
        <v>-0.232794117647059</v>
      </c>
      <c r="D25" s="12" t="n">
        <f aca="false">D15/D6</f>
        <v>0.0808211101524304</v>
      </c>
      <c r="E25" s="12" t="n">
        <f aca="false">E15/E6</f>
        <v>0.187278932200819</v>
      </c>
      <c r="F25" s="12" t="n">
        <f aca="false">F15/F6</f>
        <v>0.241937784335424</v>
      </c>
      <c r="G25" s="12" t="n">
        <f aca="false">G15/G6</f>
        <v>0.293005073238038</v>
      </c>
      <c r="H25" s="12" t="n">
        <f aca="false">H15/H6</f>
        <v>0.343725464132217</v>
      </c>
    </row>
    <row r="26" customFormat="false" ht="15" hidden="false" customHeight="true" outlineLevel="0" collapsed="false">
      <c r="B26" s="6" t="s">
        <v>147</v>
      </c>
      <c r="C26" s="12" t="n">
        <f aca="false">C22/C6</f>
        <v>-0.252794117647059</v>
      </c>
      <c r="D26" s="12" t="n">
        <f aca="false">D22/D6</f>
        <v>0.0494782679033651</v>
      </c>
      <c r="E26" s="12" t="n">
        <f aca="false">E22/E6</f>
        <v>0.125459199150614</v>
      </c>
      <c r="F26" s="12" t="n">
        <f aca="false">F22/F6</f>
        <v>0.166453338251568</v>
      </c>
      <c r="G26" s="12" t="n">
        <f aca="false">G22/G6</f>
        <v>0.204753804928529</v>
      </c>
      <c r="H26" s="12" t="n">
        <f aca="false">H22/H6</f>
        <v>0.242794098099163</v>
      </c>
    </row>
    <row r="28" customFormat="false" ht="15" hidden="false" customHeight="true" outlineLevel="0" collapsed="false">
      <c r="B28" s="3" t="s">
        <v>148</v>
      </c>
    </row>
    <row r="29" customFormat="false" ht="15" hidden="false" customHeight="true" outlineLevel="0" collapsed="false">
      <c r="B29" s="3" t="s">
        <v>149</v>
      </c>
    </row>
  </sheetData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2:G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40"/>
    <col collapsed="false" customWidth="true" hidden="false" outlineLevel="0" max="5" min="3" style="1" width="13"/>
    <col collapsed="false" customWidth="true" hidden="false" outlineLevel="0" max="6" min="6" style="1" width="2"/>
    <col collapsed="false" customWidth="true" hidden="false" outlineLevel="0" max="7" min="7" style="1" width="46"/>
  </cols>
  <sheetData>
    <row r="2" customFormat="false" ht="17.25" hidden="false" customHeight="true" outlineLevel="0" collapsed="false">
      <c r="B2" s="2" t="s">
        <v>150</v>
      </c>
    </row>
    <row r="3" customFormat="false" ht="15" hidden="false" customHeight="true" outlineLevel="0" collapsed="false">
      <c r="B3" s="3" t="s">
        <v>151</v>
      </c>
    </row>
    <row r="5" customFormat="false" ht="15" hidden="false" customHeight="true" outlineLevel="0" collapsed="false">
      <c r="B5" s="5" t="s">
        <v>152</v>
      </c>
    </row>
    <row r="6" customFormat="false" ht="15" hidden="false" customHeight="true" outlineLevel="0" collapsed="false">
      <c r="B6" s="25" t="s">
        <v>153</v>
      </c>
      <c r="C6" s="26" t="s">
        <v>154</v>
      </c>
      <c r="D6" s="26" t="s">
        <v>155</v>
      </c>
    </row>
    <row r="7" customFormat="false" ht="15" hidden="false" customHeight="true" outlineLevel="0" collapsed="false">
      <c r="B7" s="22" t="s">
        <v>156</v>
      </c>
      <c r="C7" s="27" t="n">
        <f aca="false">D7*10/Assumptions!C6</f>
        <v>4.78723404255319</v>
      </c>
      <c r="D7" s="23" t="n">
        <f aca="false">Assumptions!C11</f>
        <v>45</v>
      </c>
      <c r="G7" s="3" t="s">
        <v>157</v>
      </c>
    </row>
    <row r="8" customFormat="false" ht="15" hidden="false" customHeight="true" outlineLevel="0" collapsed="false">
      <c r="B8" s="6" t="s">
        <v>158</v>
      </c>
      <c r="C8" s="27" t="n">
        <f aca="false">D8*10/Assumptions!C6</f>
        <v>1.06382978723404</v>
      </c>
      <c r="D8" s="9" t="n">
        <v>10</v>
      </c>
      <c r="G8" s="3" t="s">
        <v>159</v>
      </c>
    </row>
    <row r="9" customFormat="false" ht="15" hidden="false" customHeight="true" outlineLevel="0" collapsed="false">
      <c r="B9" s="17" t="s">
        <v>160</v>
      </c>
      <c r="C9" s="28" t="n">
        <f aca="false">SUM(C7:C8)</f>
        <v>5.85106382978723</v>
      </c>
      <c r="D9" s="20" t="n">
        <f aca="false">SUM(D7:D8)</f>
        <v>55</v>
      </c>
    </row>
    <row r="11" customFormat="false" ht="15" hidden="false" customHeight="true" outlineLevel="0" collapsed="false">
      <c r="B11" s="5" t="s">
        <v>161</v>
      </c>
    </row>
    <row r="12" customFormat="false" ht="15" hidden="false" customHeight="true" outlineLevel="0" collapsed="false">
      <c r="B12" s="25" t="s">
        <v>162</v>
      </c>
      <c r="C12" s="26" t="s">
        <v>154</v>
      </c>
      <c r="D12" s="26" t="s">
        <v>155</v>
      </c>
      <c r="E12" s="26" t="s">
        <v>163</v>
      </c>
    </row>
    <row r="13" customFormat="false" ht="15" hidden="false" customHeight="true" outlineLevel="0" collapsed="false">
      <c r="B13" s="6" t="s">
        <v>164</v>
      </c>
      <c r="C13" s="29" t="n">
        <v>3.17</v>
      </c>
      <c r="D13" s="11" t="n">
        <f aca="false">C13*Assumptions!C6/10</f>
        <v>29.798</v>
      </c>
      <c r="E13" s="12" t="n">
        <f aca="false">C13/$C$9</f>
        <v>0.541781818181818</v>
      </c>
      <c r="G13" s="3" t="s">
        <v>165</v>
      </c>
    </row>
    <row r="14" customFormat="false" ht="15" hidden="false" customHeight="true" outlineLevel="0" collapsed="false">
      <c r="B14" s="6" t="s">
        <v>166</v>
      </c>
      <c r="C14" s="29" t="n">
        <v>0.96</v>
      </c>
      <c r="D14" s="11" t="n">
        <f aca="false">C14*Assumptions!C6/10</f>
        <v>9.024</v>
      </c>
      <c r="E14" s="12" t="n">
        <f aca="false">C14/$C$9</f>
        <v>0.164072727272727</v>
      </c>
      <c r="G14" s="3" t="s">
        <v>167</v>
      </c>
    </row>
    <row r="15" customFormat="false" ht="15" hidden="false" customHeight="true" outlineLevel="0" collapsed="false">
      <c r="B15" s="6" t="s">
        <v>168</v>
      </c>
      <c r="C15" s="29" t="n">
        <v>0.48</v>
      </c>
      <c r="D15" s="11" t="n">
        <f aca="false">C15*Assumptions!C6/10</f>
        <v>4.512</v>
      </c>
      <c r="E15" s="12" t="n">
        <f aca="false">C15/$C$9</f>
        <v>0.0820363636363636</v>
      </c>
      <c r="G15" s="3" t="s">
        <v>169</v>
      </c>
    </row>
    <row r="16" customFormat="false" ht="15" hidden="false" customHeight="true" outlineLevel="0" collapsed="false">
      <c r="B16" s="6" t="s">
        <v>170</v>
      </c>
      <c r="C16" s="29" t="n">
        <v>1.24</v>
      </c>
      <c r="D16" s="11" t="n">
        <f aca="false">C16*Assumptions!C6/10</f>
        <v>11.656</v>
      </c>
      <c r="E16" s="12" t="n">
        <f aca="false">C16/$C$9</f>
        <v>0.211927272727273</v>
      </c>
      <c r="G16" s="3" t="s">
        <v>171</v>
      </c>
    </row>
    <row r="17" customFormat="false" ht="15" hidden="false" customHeight="true" outlineLevel="0" collapsed="false">
      <c r="B17" s="17" t="s">
        <v>172</v>
      </c>
      <c r="C17" s="28" t="n">
        <f aca="false">SUM(C13:C16)</f>
        <v>5.85</v>
      </c>
      <c r="D17" s="20" t="n">
        <f aca="false">SUM(D13:D16)</f>
        <v>54.99</v>
      </c>
      <c r="E17" s="30" t="n">
        <f aca="false">SUM(E13:E16)</f>
        <v>0.999818181818182</v>
      </c>
    </row>
    <row r="18" customFormat="false" ht="15" hidden="false" customHeight="true" outlineLevel="0" collapsed="false">
      <c r="B18" s="6" t="s">
        <v>173</v>
      </c>
      <c r="C18" s="12" t="n">
        <f aca="false">C13/C7</f>
        <v>0.662177777777778</v>
      </c>
      <c r="G18" s="3" t="s">
        <v>174</v>
      </c>
    </row>
    <row r="20" customFormat="false" ht="15" hidden="false" customHeight="true" outlineLevel="0" collapsed="false">
      <c r="B20" s="5" t="s">
        <v>175</v>
      </c>
    </row>
    <row r="21" customFormat="false" ht="15" hidden="false" customHeight="true" outlineLevel="0" collapsed="false">
      <c r="B21" s="6" t="s">
        <v>176</v>
      </c>
      <c r="C21" s="9" t="n">
        <v>0.36</v>
      </c>
      <c r="G21" s="3" t="s">
        <v>177</v>
      </c>
    </row>
    <row r="22" customFormat="false" ht="15" hidden="false" customHeight="true" outlineLevel="0" collapsed="false">
      <c r="B22" s="6" t="s">
        <v>178</v>
      </c>
      <c r="C22" s="9" t="n">
        <v>0.12</v>
      </c>
      <c r="G22" s="3" t="s">
        <v>179</v>
      </c>
    </row>
    <row r="23" customFormat="false" ht="15" hidden="false" customHeight="true" outlineLevel="0" collapsed="false">
      <c r="B23" s="6" t="s">
        <v>180</v>
      </c>
      <c r="C23" s="9" t="n">
        <v>2</v>
      </c>
      <c r="G23" s="3" t="s">
        <v>181</v>
      </c>
    </row>
    <row r="24" customFormat="false" ht="15" hidden="false" customHeight="true" outlineLevel="0" collapsed="false">
      <c r="B24" s="6" t="s">
        <v>182</v>
      </c>
      <c r="C24" s="9" t="n">
        <v>1</v>
      </c>
      <c r="G24" s="3" t="s">
        <v>183</v>
      </c>
    </row>
    <row r="25" customFormat="false" ht="15" hidden="false" customHeight="false" outlineLevel="0" collapsed="false">
      <c r="B25" s="1" t="s">
        <v>184</v>
      </c>
      <c r="C25" s="1" t="n">
        <v>0.025</v>
      </c>
      <c r="G25" s="1" t="s">
        <v>185</v>
      </c>
    </row>
  </sheetData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2:J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40"/>
    <col collapsed="false" customWidth="true" hidden="false" outlineLevel="0" max="8" min="3" style="1" width="12"/>
    <col collapsed="false" customWidth="true" hidden="false" outlineLevel="0" max="9" min="9" style="1" width="2"/>
    <col collapsed="false" customWidth="true" hidden="false" outlineLevel="0" max="10" min="10" style="1" width="40"/>
  </cols>
  <sheetData>
    <row r="2" customFormat="false" ht="17.25" hidden="false" customHeight="true" outlineLevel="0" collapsed="false">
      <c r="B2" s="2" t="s">
        <v>186</v>
      </c>
    </row>
    <row r="3" customFormat="false" ht="15" hidden="false" customHeight="true" outlineLevel="0" collapsed="false">
      <c r="B3" s="3" t="s">
        <v>187</v>
      </c>
    </row>
    <row r="5" customFormat="false" ht="15" hidden="false" customHeight="true" outlineLevel="0" collapsed="false">
      <c r="B5" s="5" t="s">
        <v>188</v>
      </c>
    </row>
    <row r="6" customFormat="false" ht="15" hidden="false" customHeight="true" outlineLevel="0" collapsed="false">
      <c r="B6" s="25" t="s">
        <v>189</v>
      </c>
      <c r="C6" s="26" t="s">
        <v>190</v>
      </c>
      <c r="D6" s="26" t="s">
        <v>155</v>
      </c>
    </row>
    <row r="7" customFormat="false" ht="15" hidden="false" customHeight="true" outlineLevel="0" collapsed="false">
      <c r="B7" s="6" t="s">
        <v>191</v>
      </c>
      <c r="C7" s="31" t="n">
        <v>69000</v>
      </c>
      <c r="D7" s="11" t="n">
        <f aca="false">C7*Assumptions!C6/10000000</f>
        <v>0.6486</v>
      </c>
      <c r="J7" s="3" t="s">
        <v>192</v>
      </c>
    </row>
    <row r="8" customFormat="false" ht="15" hidden="false" customHeight="true" outlineLevel="0" collapsed="false">
      <c r="B8" s="6" t="s">
        <v>193</v>
      </c>
      <c r="C8" s="31" t="n">
        <v>69000</v>
      </c>
      <c r="D8" s="11" t="n">
        <f aca="false">C8*Assumptions!C6/10000000</f>
        <v>0.6486</v>
      </c>
      <c r="J8" s="3" t="s">
        <v>194</v>
      </c>
    </row>
    <row r="9" customFormat="false" ht="15" hidden="false" customHeight="true" outlineLevel="0" collapsed="false">
      <c r="B9" s="6" t="s">
        <v>195</v>
      </c>
      <c r="C9" s="31" t="n">
        <v>232000</v>
      </c>
      <c r="D9" s="11" t="n">
        <f aca="false">C9*Assumptions!C6/10000000</f>
        <v>2.1808</v>
      </c>
      <c r="J9" s="3" t="s">
        <v>196</v>
      </c>
    </row>
    <row r="10" customFormat="false" ht="15" hidden="false" customHeight="true" outlineLevel="0" collapsed="false">
      <c r="B10" s="6" t="s">
        <v>197</v>
      </c>
      <c r="C10" s="31" t="n">
        <v>1000000</v>
      </c>
      <c r="D10" s="11" t="n">
        <f aca="false">C10*Assumptions!C6/10000000</f>
        <v>9.4</v>
      </c>
      <c r="J10" s="3" t="s">
        <v>198</v>
      </c>
    </row>
    <row r="11" customFormat="false" ht="15" hidden="false" customHeight="true" outlineLevel="0" collapsed="false">
      <c r="B11" s="6" t="s">
        <v>199</v>
      </c>
      <c r="C11" s="31" t="n">
        <v>1000000</v>
      </c>
      <c r="D11" s="11" t="n">
        <f aca="false">C11*Assumptions!C6/10000000</f>
        <v>9.4</v>
      </c>
      <c r="J11" s="3" t="s">
        <v>200</v>
      </c>
    </row>
    <row r="12" customFormat="false" ht="15" hidden="false" customHeight="true" outlineLevel="0" collapsed="false">
      <c r="B12" s="6" t="s">
        <v>201</v>
      </c>
      <c r="C12" s="31" t="n">
        <v>300000</v>
      </c>
      <c r="D12" s="11" t="n">
        <f aca="false">C12*Assumptions!C6/10000000</f>
        <v>2.82</v>
      </c>
      <c r="J12" s="3" t="s">
        <v>202</v>
      </c>
    </row>
    <row r="13" customFormat="false" ht="15" hidden="false" customHeight="true" outlineLevel="0" collapsed="false">
      <c r="B13" s="6" t="s">
        <v>203</v>
      </c>
      <c r="C13" s="31" t="n">
        <v>500000</v>
      </c>
      <c r="D13" s="11" t="n">
        <f aca="false">C13*Assumptions!C6/10000000</f>
        <v>4.7</v>
      </c>
      <c r="J13" s="3" t="s">
        <v>204</v>
      </c>
    </row>
    <row r="14" customFormat="false" ht="15" hidden="false" customHeight="true" outlineLevel="0" collapsed="false">
      <c r="B14" s="17" t="s">
        <v>205</v>
      </c>
      <c r="C14" s="32" t="n">
        <f aca="false">SUM(C7:C13)</f>
        <v>3170000</v>
      </c>
      <c r="D14" s="20" t="n">
        <f aca="false">SUM(D7:D13)</f>
        <v>29.798</v>
      </c>
      <c r="J14" s="3" t="s">
        <v>206</v>
      </c>
    </row>
    <row r="17" customFormat="false" ht="15" hidden="false" customHeight="true" outlineLevel="0" collapsed="false">
      <c r="B17" s="5" t="s">
        <v>207</v>
      </c>
    </row>
    <row r="18" customFormat="false" ht="15" hidden="false" customHeight="true" outlineLevel="0" collapsed="false">
      <c r="B18" s="6" t="s">
        <v>208</v>
      </c>
      <c r="C18" s="10" t="n">
        <v>57</v>
      </c>
      <c r="J18" s="3" t="s">
        <v>209</v>
      </c>
    </row>
    <row r="19" customFormat="false" ht="15" hidden="false" customHeight="true" outlineLevel="0" collapsed="false">
      <c r="B19" s="6" t="s">
        <v>210</v>
      </c>
      <c r="C19" s="10" t="n">
        <v>300</v>
      </c>
      <c r="J19" s="3" t="s">
        <v>211</v>
      </c>
    </row>
    <row r="20" customFormat="false" ht="15" hidden="false" customHeight="true" outlineLevel="0" collapsed="false">
      <c r="B20" s="6" t="s">
        <v>212</v>
      </c>
      <c r="C20" s="13" t="n">
        <f aca="false">ROUND(PI()*((C19/2-3)^2)/C18-PI()*(C19-6)/SQRT(C18),0)</f>
        <v>1069</v>
      </c>
      <c r="J20" s="3" t="s">
        <v>213</v>
      </c>
    </row>
    <row r="21" customFormat="false" ht="15" hidden="false" customHeight="true" outlineLevel="0" collapsed="false">
      <c r="B21" s="6" t="s">
        <v>214</v>
      </c>
      <c r="C21" s="8" t="n">
        <v>0.945</v>
      </c>
      <c r="J21" s="3" t="s">
        <v>215</v>
      </c>
    </row>
    <row r="22" customFormat="false" ht="15" hidden="false" customHeight="true" outlineLevel="0" collapsed="false">
      <c r="B22" s="6" t="s">
        <v>216</v>
      </c>
      <c r="C22" s="13" t="n">
        <f aca="false">ROUND(C20*C21,0)</f>
        <v>1010</v>
      </c>
      <c r="J22" s="3" t="s">
        <v>217</v>
      </c>
    </row>
    <row r="23" customFormat="false" ht="15" hidden="false" customHeight="true" outlineLevel="0" collapsed="false">
      <c r="B23" s="6" t="s">
        <v>218</v>
      </c>
      <c r="C23" s="31" t="n">
        <v>2400</v>
      </c>
      <c r="J23" s="3" t="s">
        <v>219</v>
      </c>
    </row>
    <row r="24" customFormat="false" ht="15" hidden="false" customHeight="true" outlineLevel="0" collapsed="false">
      <c r="B24" s="6" t="s">
        <v>220</v>
      </c>
      <c r="C24" s="33" t="n">
        <f aca="false">C23/C22</f>
        <v>2.37623762376238</v>
      </c>
      <c r="J24" s="3" t="s">
        <v>221</v>
      </c>
    </row>
    <row r="25" customFormat="false" ht="15" hidden="false" customHeight="true" outlineLevel="0" collapsed="false">
      <c r="B25" s="6" t="s">
        <v>222</v>
      </c>
      <c r="C25" s="34" t="n">
        <v>1.5</v>
      </c>
      <c r="J25" s="3" t="s">
        <v>223</v>
      </c>
    </row>
    <row r="26" customFormat="false" ht="15" hidden="false" customHeight="true" outlineLevel="0" collapsed="false">
      <c r="B26" s="6" t="s">
        <v>224</v>
      </c>
      <c r="C26" s="35" t="n">
        <f aca="false">C24+C25</f>
        <v>3.87623762376238</v>
      </c>
      <c r="J26" s="3" t="s">
        <v>225</v>
      </c>
    </row>
    <row r="28" customFormat="false" ht="15" hidden="false" customHeight="true" outlineLevel="0" collapsed="false">
      <c r="B28" s="6" t="s">
        <v>226</v>
      </c>
      <c r="C28" s="31" t="n">
        <v>3000</v>
      </c>
      <c r="J28" s="3" t="s">
        <v>227</v>
      </c>
    </row>
    <row r="29" customFormat="false" ht="15" hidden="false" customHeight="true" outlineLevel="0" collapsed="false">
      <c r="B29" s="6" t="s">
        <v>228</v>
      </c>
      <c r="C29" s="36" t="n">
        <f aca="false">C28/C26</f>
        <v>773.946360153257</v>
      </c>
    </row>
    <row r="31" customFormat="false" ht="15" hidden="false" customHeight="true" outlineLevel="0" collapsed="false">
      <c r="B31" s="5" t="s">
        <v>229</v>
      </c>
    </row>
    <row r="32" customFormat="false" ht="15" hidden="false" customHeight="true" outlineLevel="0" collapsed="false">
      <c r="B32" s="6" t="s">
        <v>230</v>
      </c>
      <c r="C32" s="31" t="n">
        <v>22</v>
      </c>
      <c r="J32" s="3" t="s">
        <v>231</v>
      </c>
    </row>
    <row r="33" customFormat="false" ht="15" hidden="false" customHeight="true" outlineLevel="0" collapsed="false">
      <c r="B33" s="6" t="s">
        <v>232</v>
      </c>
      <c r="C33" s="33" t="n">
        <f aca="false">C32-C26</f>
        <v>18.1237623762376</v>
      </c>
    </row>
    <row r="34" customFormat="false" ht="15" hidden="false" customHeight="true" outlineLevel="0" collapsed="false">
      <c r="B34" s="17" t="s">
        <v>233</v>
      </c>
      <c r="C34" s="37" t="n">
        <f aca="false">ROUND(C14/C33,0)</f>
        <v>174908</v>
      </c>
      <c r="J34" s="3" t="s">
        <v>234</v>
      </c>
    </row>
    <row r="36" customFormat="false" ht="15" hidden="false" customHeight="true" outlineLevel="0" collapsed="false">
      <c r="B36" s="3" t="s">
        <v>235</v>
      </c>
    </row>
    <row r="37" customFormat="false" ht="15" hidden="false" customHeight="true" outlineLevel="0" collapsed="false">
      <c r="B37" s="3" t="s">
        <v>236</v>
      </c>
    </row>
    <row r="38" customFormat="false" ht="15" hidden="false" customHeight="true" outlineLevel="0" collapsed="false">
      <c r="B38" s="3" t="s">
        <v>237</v>
      </c>
    </row>
    <row r="39" customFormat="false" ht="15" hidden="false" customHeight="true" outlineLevel="0" collapsed="false">
      <c r="B39" s="3" t="s">
        <v>238</v>
      </c>
    </row>
    <row r="41" customFormat="false" ht="15" hidden="false" customHeight="true" outlineLevel="0" collapsed="false">
      <c r="B41" s="5" t="s">
        <v>239</v>
      </c>
    </row>
    <row r="42" customFormat="false" ht="15" hidden="false" customHeight="true" outlineLevel="0" collapsed="false">
      <c r="B42" s="22" t="s">
        <v>240</v>
      </c>
      <c r="C42" s="23" t="n">
        <f aca="false">'Revenue Build'!J8</f>
        <v>194.3</v>
      </c>
    </row>
    <row r="43" customFormat="false" ht="15" hidden="false" customHeight="true" outlineLevel="0" collapsed="false">
      <c r="B43" s="6" t="s">
        <v>241</v>
      </c>
      <c r="C43" s="8" t="n">
        <v>0.3</v>
      </c>
    </row>
    <row r="44" customFormat="false" ht="15" hidden="false" customHeight="true" outlineLevel="0" collapsed="false">
      <c r="B44" s="17" t="s">
        <v>242</v>
      </c>
      <c r="C44" s="24" t="n">
        <f aca="false">C42*(1-C43)</f>
        <v>136.01</v>
      </c>
      <c r="J44" s="3" t="s">
        <v>243</v>
      </c>
    </row>
    <row r="45" customFormat="false" ht="15" hidden="false" customHeight="true" outlineLevel="0" collapsed="false">
      <c r="B45" s="3" t="s">
        <v>244</v>
      </c>
    </row>
    <row r="47" customFormat="false" ht="15" hidden="false" customHeight="true" outlineLevel="0" collapsed="false">
      <c r="B47" s="5" t="s">
        <v>245</v>
      </c>
    </row>
    <row r="48" customFormat="false" ht="15" hidden="false" customHeight="true" outlineLevel="0" collapsed="false">
      <c r="B48" s="6" t="s">
        <v>246</v>
      </c>
    </row>
    <row r="49" customFormat="false" ht="15" hidden="false" customHeight="true" outlineLevel="0" collapsed="false">
      <c r="B49" s="3" t="s">
        <v>247</v>
      </c>
    </row>
    <row r="50" customFormat="false" ht="15" hidden="false" customHeight="true" outlineLevel="0" collapsed="false">
      <c r="B50" s="3" t="s">
        <v>248</v>
      </c>
    </row>
    <row r="51" customFormat="false" ht="15" hidden="false" customHeight="true" outlineLevel="0" collapsed="false">
      <c r="B51" s="3" t="s">
        <v>249</v>
      </c>
    </row>
    <row r="52" customFormat="false" ht="15" hidden="false" customHeight="true" outlineLevel="0" collapsed="false">
      <c r="B52" s="3" t="s">
        <v>250</v>
      </c>
    </row>
  </sheetData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2:J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4"/>
    <col collapsed="false" customWidth="true" hidden="false" outlineLevel="0" max="8" min="3" style="1" width="12"/>
    <col collapsed="false" customWidth="true" hidden="false" outlineLevel="0" max="9" min="9" style="1" width="2"/>
    <col collapsed="false" customWidth="true" hidden="false" outlineLevel="0" max="10" min="10" style="1" width="34"/>
  </cols>
  <sheetData>
    <row r="2" customFormat="false" ht="17.25" hidden="false" customHeight="true" outlineLevel="0" collapsed="false">
      <c r="B2" s="2" t="s">
        <v>251</v>
      </c>
    </row>
    <row r="3" customFormat="false" ht="15" hidden="false" customHeight="true" outlineLevel="0" collapsed="false">
      <c r="B3" s="3" t="s">
        <v>252</v>
      </c>
    </row>
    <row r="5" customFormat="false" ht="15" hidden="false" customHeight="true" outlineLevel="0" collapsed="false">
      <c r="B5" s="5" t="s">
        <v>253</v>
      </c>
    </row>
    <row r="6" customFormat="false" ht="15" hidden="false" customHeight="true" outlineLevel="0" collapsed="false">
      <c r="B6" s="22" t="s">
        <v>254</v>
      </c>
      <c r="C6" s="23" t="n">
        <f aca="false">Assumptions!C11</f>
        <v>45</v>
      </c>
    </row>
    <row r="7" customFormat="false" ht="15" hidden="false" customHeight="true" outlineLevel="0" collapsed="false">
      <c r="B7" s="6" t="s">
        <v>255</v>
      </c>
      <c r="C7" s="9" t="n">
        <v>0.025</v>
      </c>
      <c r="J7" s="3" t="s">
        <v>256</v>
      </c>
    </row>
    <row r="8" customFormat="false" ht="15" hidden="false" customHeight="true" outlineLevel="0" collapsed="false">
      <c r="B8" s="17" t="s">
        <v>257</v>
      </c>
      <c r="C8" s="20" t="n">
        <f aca="false">C6+C7</f>
        <v>45.025</v>
      </c>
    </row>
    <row r="10" customFormat="false" ht="15" hidden="false" customHeight="true" outlineLevel="0" collapsed="false">
      <c r="B10" s="5" t="s">
        <v>258</v>
      </c>
    </row>
    <row r="11" customFormat="false" ht="15" hidden="false" customHeight="true" outlineLevel="0" collapsed="false">
      <c r="B11" s="17" t="s">
        <v>42</v>
      </c>
      <c r="C11" s="18" t="s">
        <v>30</v>
      </c>
      <c r="D11" s="18" t="s">
        <v>31</v>
      </c>
      <c r="E11" s="18" t="s">
        <v>32</v>
      </c>
      <c r="F11" s="18" t="s">
        <v>33</v>
      </c>
      <c r="G11" s="18" t="s">
        <v>34</v>
      </c>
      <c r="H11" s="18" t="s">
        <v>35</v>
      </c>
    </row>
    <row r="12" customFormat="false" ht="15" hidden="false" customHeight="true" outlineLevel="0" collapsed="false">
      <c r="B12" s="6" t="s">
        <v>259</v>
      </c>
      <c r="C12" s="23" t="n">
        <f aca="false">'P&amp;L'!C22+'P&amp;L'!C16</f>
        <v>-0.39575</v>
      </c>
      <c r="D12" s="23" t="n">
        <f aca="false">'P&amp;L'!D22+'P&amp;L'!D16</f>
        <v>1.9326075</v>
      </c>
      <c r="E12" s="23" t="n">
        <f aca="false">'P&amp;L'!E22+'P&amp;L'!E16</f>
        <v>16.78271875</v>
      </c>
      <c r="F12" s="23" t="n">
        <f aca="false">'P&amp;L'!F22+'P&amp;L'!F16</f>
        <v>53.074875</v>
      </c>
      <c r="G12" s="23" t="n">
        <f aca="false">'P&amp;L'!G22+'P&amp;L'!G16</f>
        <v>133.5700625</v>
      </c>
      <c r="H12" s="23" t="n">
        <f aca="false">'P&amp;L'!H22+'P&amp;L'!H16</f>
        <v>296.55</v>
      </c>
    </row>
    <row r="13" customFormat="false" ht="15" hidden="false" customHeight="true" outlineLevel="0" collapsed="false">
      <c r="B13" s="6" t="s">
        <v>260</v>
      </c>
      <c r="C13" s="9" t="n">
        <v>-18</v>
      </c>
      <c r="D13" s="9" t="n">
        <v>-10</v>
      </c>
      <c r="E13" s="9" t="n">
        <v>-2</v>
      </c>
      <c r="F13" s="9" t="n">
        <v>0</v>
      </c>
      <c r="G13" s="9" t="n">
        <v>0</v>
      </c>
      <c r="H13" s="9" t="n">
        <v>0</v>
      </c>
      <c r="J13" s="3" t="s">
        <v>261</v>
      </c>
    </row>
    <row r="14" customFormat="false" ht="15" hidden="false" customHeight="true" outlineLevel="0" collapsed="false">
      <c r="B14" s="6" t="s">
        <v>262</v>
      </c>
      <c r="C14" s="9" t="n">
        <v>-1</v>
      </c>
      <c r="D14" s="9" t="n">
        <v>-1.5</v>
      </c>
      <c r="E14" s="9" t="n">
        <v>-2</v>
      </c>
      <c r="F14" s="9" t="n">
        <v>-3</v>
      </c>
      <c r="G14" s="9" t="n">
        <v>-4</v>
      </c>
      <c r="H14" s="9" t="n">
        <v>-5</v>
      </c>
    </row>
    <row r="15" customFormat="false" ht="15" hidden="false" customHeight="true" outlineLevel="0" collapsed="false">
      <c r="B15" s="6" t="s">
        <v>263</v>
      </c>
      <c r="C15" s="9" t="n">
        <v>0.6</v>
      </c>
      <c r="D15" s="9" t="n">
        <v>3</v>
      </c>
      <c r="E15" s="9" t="n">
        <v>6</v>
      </c>
      <c r="F15" s="9" t="n">
        <v>15</v>
      </c>
      <c r="G15" s="9" t="n">
        <v>30</v>
      </c>
      <c r="H15" s="9" t="n">
        <v>60</v>
      </c>
    </row>
    <row r="16" customFormat="false" ht="15" hidden="false" customHeight="true" outlineLevel="0" collapsed="false">
      <c r="B16" s="6" t="s">
        <v>264</v>
      </c>
      <c r="C16" s="8" t="n">
        <v>0.15</v>
      </c>
      <c r="J16" s="3" t="s">
        <v>265</v>
      </c>
    </row>
    <row r="17" customFormat="false" ht="15" hidden="false" customHeight="true" outlineLevel="0" collapsed="false">
      <c r="B17" s="6" t="s">
        <v>266</v>
      </c>
      <c r="C17" s="11" t="n">
        <f aca="false">-C15*$C$16</f>
        <v>-0.09</v>
      </c>
      <c r="D17" s="11" t="n">
        <f aca="false">-D15*$C$16</f>
        <v>-0.45</v>
      </c>
      <c r="E17" s="11" t="n">
        <f aca="false">-E15*$C$16</f>
        <v>-0.9</v>
      </c>
      <c r="F17" s="11" t="n">
        <f aca="false">-F15*$C$16</f>
        <v>-2.25</v>
      </c>
      <c r="G17" s="11" t="n">
        <f aca="false">-G15*$C$16</f>
        <v>-4.5</v>
      </c>
      <c r="H17" s="11" t="n">
        <f aca="false">-H15*$C$16</f>
        <v>-9</v>
      </c>
    </row>
    <row r="18" customFormat="false" ht="15" hidden="false" customHeight="true" outlineLevel="0" collapsed="false">
      <c r="B18" s="6" t="s">
        <v>267</v>
      </c>
      <c r="C18" s="8" t="n">
        <v>0.15</v>
      </c>
      <c r="J18" s="3" t="s">
        <v>268</v>
      </c>
    </row>
    <row r="19" customFormat="false" ht="15" hidden="false" customHeight="true" outlineLevel="0" collapsed="false">
      <c r="B19" s="6" t="s">
        <v>269</v>
      </c>
      <c r="C19" s="11" t="n">
        <f aca="false">'P&amp;L'!C6*$C$18</f>
        <v>0.255</v>
      </c>
      <c r="D19" s="11" t="n">
        <f aca="false">'P&amp;L'!D6*$C$18</f>
        <v>4.1724</v>
      </c>
      <c r="E19" s="11" t="n">
        <f aca="false">'P&amp;L'!E6*$C$18</f>
        <v>17.306625</v>
      </c>
      <c r="F19" s="11" t="n">
        <f aca="false">'P&amp;L'!F6*$C$18</f>
        <v>42.69825</v>
      </c>
      <c r="G19" s="11" t="n">
        <f aca="false">'P&amp;L'!G6*$C$18</f>
        <v>89.14425</v>
      </c>
      <c r="H19" s="11" t="n">
        <f aca="false">'P&amp;L'!H6*$C$18</f>
        <v>169.2675</v>
      </c>
    </row>
    <row r="20" customFormat="false" ht="15" hidden="false" customHeight="true" outlineLevel="0" collapsed="false">
      <c r="B20" s="6" t="s">
        <v>270</v>
      </c>
      <c r="C20" s="11" t="n">
        <f aca="false">-C19</f>
        <v>-0.255</v>
      </c>
      <c r="D20" s="11" t="n">
        <f aca="false">-(D19-C19)</f>
        <v>-3.9174</v>
      </c>
      <c r="E20" s="11" t="n">
        <f aca="false">-(E19-D19)</f>
        <v>-13.134225</v>
      </c>
      <c r="F20" s="11" t="n">
        <f aca="false">-(F19-E19)</f>
        <v>-25.391625</v>
      </c>
      <c r="G20" s="11" t="n">
        <f aca="false">-(G19-F19)</f>
        <v>-46.446</v>
      </c>
      <c r="H20" s="11" t="n">
        <f aca="false">-(H19-G19)</f>
        <v>-80.12325</v>
      </c>
    </row>
    <row r="21" customFormat="false" ht="15" hidden="false" customHeight="true" outlineLevel="0" collapsed="false">
      <c r="B21" s="17" t="s">
        <v>271</v>
      </c>
      <c r="C21" s="20" t="n">
        <f aca="false">C12+C13+C14+C17+C20</f>
        <v>-19.74075</v>
      </c>
      <c r="D21" s="20" t="n">
        <f aca="false">D12+D13+D14+D17+D20</f>
        <v>-13.9347925</v>
      </c>
      <c r="E21" s="20" t="n">
        <f aca="false">E12+E13+E14+E17+E20</f>
        <v>-1.25150624999999</v>
      </c>
      <c r="F21" s="20" t="n">
        <f aca="false">F12+F13+F14+F17+F20</f>
        <v>22.43325</v>
      </c>
      <c r="G21" s="20" t="n">
        <f aca="false">G12+G13+G14+G17+G20</f>
        <v>78.6240625</v>
      </c>
      <c r="H21" s="20" t="n">
        <f aca="false">H12+H13+H14+H17+H20</f>
        <v>202.42675</v>
      </c>
    </row>
    <row r="23" customFormat="false" ht="15" hidden="false" customHeight="true" outlineLevel="0" collapsed="false">
      <c r="B23" s="5" t="s">
        <v>272</v>
      </c>
    </row>
    <row r="24" customFormat="false" ht="15" hidden="false" customHeight="true" outlineLevel="0" collapsed="false">
      <c r="B24" s="17" t="s">
        <v>42</v>
      </c>
      <c r="C24" s="18" t="s">
        <v>30</v>
      </c>
      <c r="D24" s="18" t="s">
        <v>31</v>
      </c>
      <c r="E24" s="18" t="s">
        <v>32</v>
      </c>
      <c r="F24" s="18" t="s">
        <v>33</v>
      </c>
      <c r="G24" s="18" t="s">
        <v>34</v>
      </c>
      <c r="H24" s="18" t="s">
        <v>35</v>
      </c>
    </row>
    <row r="25" customFormat="false" ht="15" hidden="false" customHeight="true" outlineLevel="0" collapsed="false">
      <c r="B25" s="6" t="s">
        <v>273</v>
      </c>
      <c r="C25" s="11" t="n">
        <f aca="false">C8</f>
        <v>45.025</v>
      </c>
      <c r="D25" s="11" t="n">
        <f aca="false">C26</f>
        <v>25.28425</v>
      </c>
      <c r="E25" s="11" t="n">
        <f aca="false">D26</f>
        <v>11.3494575</v>
      </c>
      <c r="F25" s="11" t="n">
        <f aca="false">E26</f>
        <v>10.09795125</v>
      </c>
      <c r="G25" s="11" t="n">
        <f aca="false">F26</f>
        <v>32.53120125</v>
      </c>
      <c r="H25" s="11" t="n">
        <f aca="false">G26</f>
        <v>111.15526375</v>
      </c>
    </row>
    <row r="26" customFormat="false" ht="15" hidden="false" customHeight="true" outlineLevel="0" collapsed="false">
      <c r="B26" s="17" t="s">
        <v>274</v>
      </c>
      <c r="C26" s="20" t="n">
        <f aca="false">C25+C21</f>
        <v>25.28425</v>
      </c>
      <c r="D26" s="20" t="n">
        <f aca="false">D25+D21</f>
        <v>11.3494575</v>
      </c>
      <c r="E26" s="20" t="n">
        <f aca="false">E25+E21</f>
        <v>10.09795125</v>
      </c>
      <c r="F26" s="20" t="n">
        <f aca="false">F25+F21</f>
        <v>32.53120125</v>
      </c>
      <c r="G26" s="20" t="n">
        <f aca="false">G25+G21</f>
        <v>111.15526375</v>
      </c>
      <c r="H26" s="20" t="n">
        <f aca="false">H25+H21</f>
        <v>313.58201375</v>
      </c>
    </row>
    <row r="28" customFormat="false" ht="15" hidden="false" customHeight="true" outlineLevel="0" collapsed="false">
      <c r="B28" s="17" t="s">
        <v>275</v>
      </c>
      <c r="C28" s="24" t="n">
        <f aca="false">MIN(C26:H26)</f>
        <v>10.09795125</v>
      </c>
    </row>
    <row r="29" customFormat="false" ht="15" hidden="false" customHeight="true" outlineLevel="0" collapsed="false">
      <c r="B29" s="6" t="s">
        <v>276</v>
      </c>
      <c r="C29" s="38" t="str">
        <f aca="false">IF(C28&gt;0,"Funded to self-sustaining","Bridge / next round needed")</f>
        <v>Funded to self-sustaining</v>
      </c>
    </row>
    <row r="31" customFormat="false" ht="15" hidden="false" customHeight="true" outlineLevel="0" collapsed="false">
      <c r="B31" s="3" t="s">
        <v>277</v>
      </c>
    </row>
    <row r="32" customFormat="false" ht="15" hidden="false" customHeight="true" outlineLevel="0" collapsed="false">
      <c r="B32" s="3" t="s">
        <v>278</v>
      </c>
    </row>
  </sheetData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2:J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0"/>
    <col collapsed="false" customWidth="true" hidden="false" outlineLevel="0" max="3" min="3" style="1" width="12"/>
    <col collapsed="false" customWidth="true" hidden="false" outlineLevel="0" max="4" min="4" style="1" width="48"/>
    <col collapsed="false" customWidth="true" hidden="false" outlineLevel="0" max="8" min="5" style="1" width="11"/>
    <col collapsed="false" customWidth="true" hidden="false" outlineLevel="0" max="9" min="9" style="1" width="2"/>
    <col collapsed="false" customWidth="true" hidden="false" outlineLevel="0" max="10" min="10" style="1" width="44"/>
  </cols>
  <sheetData>
    <row r="2" customFormat="false" ht="17.25" hidden="false" customHeight="true" outlineLevel="0" collapsed="false">
      <c r="B2" s="2" t="s">
        <v>279</v>
      </c>
    </row>
    <row r="3" customFormat="false" ht="15" hidden="false" customHeight="true" outlineLevel="0" collapsed="false">
      <c r="B3" s="3" t="s">
        <v>280</v>
      </c>
    </row>
    <row r="5" customFormat="false" ht="15" hidden="false" customHeight="true" outlineLevel="0" collapsed="false">
      <c r="B5" s="5" t="s">
        <v>281</v>
      </c>
    </row>
    <row r="6" customFormat="false" ht="15" hidden="false" customHeight="true" outlineLevel="0" collapsed="false">
      <c r="B6" s="25" t="s">
        <v>282</v>
      </c>
      <c r="C6" s="26" t="s">
        <v>283</v>
      </c>
      <c r="D6" s="25" t="s">
        <v>284</v>
      </c>
      <c r="J6" s="25" t="s">
        <v>153</v>
      </c>
    </row>
    <row r="7" customFormat="false" ht="15" hidden="false" customHeight="true" outlineLevel="0" collapsed="false">
      <c r="B7" s="6" t="s">
        <v>285</v>
      </c>
      <c r="C7" s="39" t="n">
        <v>53.2</v>
      </c>
      <c r="D7" s="6" t="s">
        <v>286</v>
      </c>
      <c r="J7" s="3" t="s">
        <v>287</v>
      </c>
    </row>
    <row r="8" customFormat="false" ht="15" hidden="false" customHeight="true" outlineLevel="0" collapsed="false">
      <c r="B8" s="6" t="s">
        <v>288</v>
      </c>
      <c r="C8" s="39" t="n">
        <v>2.29</v>
      </c>
      <c r="D8" s="6" t="s">
        <v>286</v>
      </c>
      <c r="J8" s="3" t="s">
        <v>289</v>
      </c>
    </row>
    <row r="9" customFormat="false" ht="15" hidden="false" customHeight="true" outlineLevel="0" collapsed="false">
      <c r="B9" s="6" t="s">
        <v>290</v>
      </c>
      <c r="C9" s="39" t="n">
        <v>200</v>
      </c>
      <c r="D9" s="6" t="s">
        <v>154</v>
      </c>
      <c r="J9" s="3" t="s">
        <v>291</v>
      </c>
    </row>
    <row r="10" customFormat="false" ht="15" hidden="false" customHeight="true" outlineLevel="0" collapsed="false">
      <c r="B10" s="6" t="s">
        <v>292</v>
      </c>
      <c r="C10" s="39" t="n">
        <v>1</v>
      </c>
      <c r="D10" s="6" t="s">
        <v>293</v>
      </c>
      <c r="J10" s="3" t="s">
        <v>294</v>
      </c>
    </row>
    <row r="11" customFormat="false" ht="15" hidden="false" customHeight="true" outlineLevel="0" collapsed="false">
      <c r="B11" s="6" t="s">
        <v>295</v>
      </c>
      <c r="C11" s="39" t="n">
        <v>0.5</v>
      </c>
      <c r="D11" s="6" t="s">
        <v>296</v>
      </c>
      <c r="J11" s="3" t="s">
        <v>297</v>
      </c>
    </row>
    <row r="12" customFormat="false" ht="15" hidden="false" customHeight="true" outlineLevel="0" collapsed="false">
      <c r="B12" s="6" t="s">
        <v>298</v>
      </c>
      <c r="C12" s="39" t="n">
        <v>0.5</v>
      </c>
      <c r="D12" s="6" t="s">
        <v>293</v>
      </c>
      <c r="J12" s="3" t="s">
        <v>299</v>
      </c>
    </row>
    <row r="14" customFormat="false" ht="15" hidden="false" customHeight="true" outlineLevel="0" collapsed="false">
      <c r="B14" s="5" t="s">
        <v>300</v>
      </c>
    </row>
    <row r="15" customFormat="false" ht="15" hidden="false" customHeight="true" outlineLevel="0" collapsed="false">
      <c r="B15" s="22" t="s">
        <v>301</v>
      </c>
      <c r="C15" s="40" t="n">
        <f aca="false">'Revenue Build'!J46</f>
        <v>18000</v>
      </c>
      <c r="J15" s="3" t="s">
        <v>302</v>
      </c>
    </row>
    <row r="16" customFormat="false" ht="15" hidden="false" customHeight="true" outlineLevel="0" collapsed="false">
      <c r="B16" s="6" t="s">
        <v>303</v>
      </c>
      <c r="C16" s="12" t="n">
        <f aca="false">C15/(C10*1000000)</f>
        <v>0.018</v>
      </c>
      <c r="J16" s="3" t="s">
        <v>304</v>
      </c>
    </row>
    <row r="17" customFormat="false" ht="15" hidden="false" customHeight="true" outlineLevel="0" collapsed="false">
      <c r="B17" s="22" t="s">
        <v>305</v>
      </c>
      <c r="C17" s="40" t="n">
        <f aca="false">'Revenue Build'!J44</f>
        <v>54000</v>
      </c>
      <c r="J17" s="3" t="s">
        <v>306</v>
      </c>
    </row>
    <row r="18" customFormat="false" ht="15" hidden="false" customHeight="true" outlineLevel="0" collapsed="false">
      <c r="B18" s="6" t="s">
        <v>307</v>
      </c>
      <c r="C18" s="41" t="n">
        <v>3.09</v>
      </c>
      <c r="J18" s="3" t="s">
        <v>308</v>
      </c>
    </row>
    <row r="20" customFormat="false" ht="15" hidden="false" customHeight="true" outlineLevel="0" collapsed="false">
      <c r="B20" s="5" t="s">
        <v>309</v>
      </c>
    </row>
    <row r="21" customFormat="false" ht="15" hidden="false" customHeight="true" outlineLevel="0" collapsed="false">
      <c r="B21" s="25" t="s">
        <v>310</v>
      </c>
      <c r="C21" s="25" t="s">
        <v>311</v>
      </c>
      <c r="D21" s="25" t="s">
        <v>312</v>
      </c>
      <c r="E21" s="25" t="s">
        <v>313</v>
      </c>
      <c r="J21" s="25" t="s">
        <v>153</v>
      </c>
    </row>
    <row r="22" customFormat="false" ht="15" hidden="false" customHeight="true" outlineLevel="0" collapsed="false">
      <c r="B22" s="6" t="s">
        <v>314</v>
      </c>
      <c r="C22" s="40" t="n">
        <f aca="false">'Revenue Build'!J46</f>
        <v>18000</v>
      </c>
      <c r="D22" s="6" t="s">
        <v>315</v>
      </c>
      <c r="E22" s="42" t="n">
        <f aca="false">C22/1000000</f>
        <v>0.018</v>
      </c>
      <c r="J22" s="3" t="s">
        <v>316</v>
      </c>
    </row>
    <row r="23" customFormat="false" ht="15" hidden="false" customHeight="true" outlineLevel="0" collapsed="false">
      <c r="B23" s="6" t="s">
        <v>317</v>
      </c>
      <c r="C23" s="40" t="n">
        <f aca="false">'Revenue Build'!J44</f>
        <v>54000</v>
      </c>
      <c r="D23" s="6" t="s">
        <v>318</v>
      </c>
      <c r="E23" s="42" t="n">
        <f aca="false">'Revenue Build'!J61*10000000/Assumptions!$C$6/1000000000/3.09</f>
        <v>0.00929560008262756</v>
      </c>
      <c r="J23" s="3" t="s">
        <v>319</v>
      </c>
    </row>
    <row r="24" customFormat="false" ht="15" hidden="false" customHeight="true" outlineLevel="0" collapsed="false">
      <c r="B24" s="6" t="s">
        <v>99</v>
      </c>
      <c r="C24" s="40" t="n">
        <f aca="false">'Revenue Build'!J45</f>
        <v>4200</v>
      </c>
      <c r="D24" s="6" t="s">
        <v>320</v>
      </c>
      <c r="E24" s="43" t="s">
        <v>321</v>
      </c>
      <c r="J24" s="3" t="s">
        <v>322</v>
      </c>
    </row>
    <row r="25" customFormat="false" ht="15" hidden="false" customHeight="true" outlineLevel="0" collapsed="false">
      <c r="B25" s="6" t="s">
        <v>323</v>
      </c>
      <c r="C25" s="40" t="n">
        <f aca="false">'Revenue Build'!J47</f>
        <v>100</v>
      </c>
      <c r="D25" s="6" t="s">
        <v>324</v>
      </c>
      <c r="E25" s="42" t="n">
        <f aca="false">C25/700000</f>
        <v>0.000142857142857143</v>
      </c>
      <c r="J25" s="3" t="s">
        <v>325</v>
      </c>
    </row>
    <row r="26" customFormat="false" ht="15" hidden="false" customHeight="true" outlineLevel="0" collapsed="false">
      <c r="B26" s="6" t="s">
        <v>102</v>
      </c>
      <c r="C26" s="40" t="n">
        <f aca="false">'Revenue Build'!J48</f>
        <v>50</v>
      </c>
      <c r="D26" s="6" t="s">
        <v>326</v>
      </c>
      <c r="E26" s="42" t="n">
        <f aca="false">'Revenue Build'!J65*10000000/Assumptions!$C$6/1000000000/10.95</f>
        <v>0.000220052462838823</v>
      </c>
      <c r="J26" s="3" t="s">
        <v>327</v>
      </c>
    </row>
    <row r="27" customFormat="false" ht="15" hidden="false" customHeight="true" outlineLevel="0" collapsed="false">
      <c r="B27" s="6" t="s">
        <v>328</v>
      </c>
      <c r="C27" s="40" t="n">
        <f aca="false">'Revenue Build'!J53+'Revenue Build'!J54+'Revenue Build'!J55</f>
        <v>6000</v>
      </c>
      <c r="D27" s="6" t="s">
        <v>329</v>
      </c>
      <c r="E27" s="42" t="n">
        <f aca="false">('Revenue Build'!J70+'Revenue Build'!J71+'Revenue Build'!J72)*10000000/Assumptions!$C$6/1000000000/4.8</f>
        <v>0.00200132978723404</v>
      </c>
      <c r="J27" s="3" t="s">
        <v>330</v>
      </c>
    </row>
    <row r="28" customFormat="false" ht="15" hidden="false" customHeight="true" outlineLevel="0" collapsed="false">
      <c r="B28" s="6" t="s">
        <v>106</v>
      </c>
      <c r="C28" s="40" t="n">
        <f aca="false">'Revenue Build'!J52</f>
        <v>30000</v>
      </c>
      <c r="D28" s="6" t="s">
        <v>331</v>
      </c>
      <c r="E28" s="42" t="n">
        <f aca="false">'Revenue Build'!J69*10000000/Assumptions!$C$6/1000000000/2.29</f>
        <v>0.00250859425810648</v>
      </c>
      <c r="J28" s="3" t="s">
        <v>332</v>
      </c>
    </row>
    <row r="29" customFormat="false" ht="15" hidden="false" customHeight="true" outlineLevel="0" collapsed="false">
      <c r="B29" s="6" t="s">
        <v>103</v>
      </c>
      <c r="C29" s="40" t="n">
        <f aca="false">'Revenue Build'!J49</f>
        <v>3200</v>
      </c>
      <c r="D29" s="6" t="s">
        <v>333</v>
      </c>
      <c r="E29" s="42" t="n">
        <f aca="false">'Revenue Build'!J66*10000000/Assumptions!$C$6/1000000000/1.68</f>
        <v>0.00101317122593718</v>
      </c>
      <c r="J29" s="3" t="s">
        <v>334</v>
      </c>
    </row>
    <row r="30" customFormat="false" ht="15" hidden="false" customHeight="true" outlineLevel="0" collapsed="false">
      <c r="B30" s="6" t="s">
        <v>104</v>
      </c>
      <c r="C30" s="40" t="n">
        <f aca="false">'Revenue Build'!J50</f>
        <v>3000</v>
      </c>
      <c r="D30" s="6" t="s">
        <v>335</v>
      </c>
      <c r="E30" s="42" t="n">
        <f aca="false">'Revenue Build'!J67*10000000/Assumptions!$C$6/1000000000/2.75</f>
        <v>0.000290135396518375</v>
      </c>
      <c r="J30" s="3" t="s">
        <v>336</v>
      </c>
    </row>
    <row r="31" customFormat="false" ht="15" hidden="false" customHeight="true" outlineLevel="0" collapsed="false">
      <c r="B31" s="6" t="s">
        <v>105</v>
      </c>
      <c r="C31" s="40" t="n">
        <f aca="false">'Revenue Build'!J51</f>
        <v>20000</v>
      </c>
      <c r="D31" s="6" t="s">
        <v>337</v>
      </c>
      <c r="E31" s="43" t="s">
        <v>321</v>
      </c>
      <c r="J31" s="3" t="s">
        <v>338</v>
      </c>
    </row>
    <row r="32" customFormat="false" ht="15" hidden="false" customHeight="true" outlineLevel="0" collapsed="false">
      <c r="B32" s="6" t="s">
        <v>111</v>
      </c>
      <c r="C32" s="40" t="n">
        <f aca="false">'Revenue Build'!J57</f>
        <v>150</v>
      </c>
      <c r="D32" s="6" t="s">
        <v>339</v>
      </c>
      <c r="E32" s="43" t="s">
        <v>321</v>
      </c>
      <c r="J32" s="3" t="s">
        <v>340</v>
      </c>
    </row>
    <row r="33" customFormat="false" ht="15" hidden="false" customHeight="true" outlineLevel="0" collapsed="false">
      <c r="B33" s="6" t="s">
        <v>112</v>
      </c>
      <c r="C33" s="40" t="n">
        <f aca="false">'Revenue Build'!J58</f>
        <v>400</v>
      </c>
      <c r="D33" s="6" t="s">
        <v>341</v>
      </c>
      <c r="E33" s="43" t="s">
        <v>321</v>
      </c>
      <c r="J33" s="3" t="s">
        <v>342</v>
      </c>
    </row>
    <row r="35" customFormat="false" ht="15" hidden="false" customHeight="true" outlineLevel="0" collapsed="false">
      <c r="B35" s="3" t="s">
        <v>343</v>
      </c>
    </row>
    <row r="37" customFormat="false" ht="15" hidden="false" customHeight="true" outlineLevel="0" collapsed="false">
      <c r="B37" s="44" t="s">
        <v>344</v>
      </c>
    </row>
    <row r="38" customFormat="false" ht="15" hidden="false" customHeight="true" outlineLevel="0" collapsed="false">
      <c r="B38" s="3" t="s">
        <v>345</v>
      </c>
    </row>
    <row r="39" customFormat="false" ht="15" hidden="false" customHeight="true" outlineLevel="0" collapsed="false">
      <c r="B39" s="3" t="s">
        <v>346</v>
      </c>
    </row>
    <row r="40" customFormat="false" ht="15" hidden="false" customHeight="true" outlineLevel="0" collapsed="false">
      <c r="B40" s="3" t="s">
        <v>347</v>
      </c>
    </row>
    <row r="42" customFormat="false" ht="15" hidden="false" customHeight="true" outlineLevel="0" collapsed="false">
      <c r="B42" s="3" t="s">
        <v>348</v>
      </c>
    </row>
  </sheetData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2026-06-18T20:28:13Z</dcterms:created>
  <dc:creator>openpyxl</dc:creator>
  <dc:description/>
  <dc:language>en-US</dc:language>
  <cp:lastModifiedBy/>
  <dcterms:modified xsi:type="dcterms:W3CDTF">2026-06-18T21:41:15Z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